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4" rupBuild="18625"/>
  <workbookPr filterPrivacy="1" defaultThemeVersion="124226"/>
  <bookViews>
    <workbookView xWindow="0" yWindow="0" windowWidth="20490" windowHeight="7530" firstSheet="21" activeTab="27" xr2:uid="{00000000-000D-0000-FFFF-FFFF00000000}"/>
  </bookViews>
  <sheets>
    <sheet name="XP level (2)" sheetId="10" r:id="rId1"/>
    <sheet name="XP level" sheetId="3" r:id="rId2"/>
    <sheet name="spells per level" sheetId="4" r:id="rId3"/>
    <sheet name="damage comparison" sheetId="1" r:id="rId4"/>
    <sheet name="Sheet1" sheetId="5" r:id="rId5"/>
    <sheet name="Sheet2" sheetId="6" r:id="rId6"/>
    <sheet name="max physical damage" sheetId="8" r:id="rId7"/>
    <sheet name="Sheet3" sheetId="7" r:id="rId8"/>
    <sheet name="Sheet4" sheetId="9" r:id="rId9"/>
    <sheet name="saves" sheetId="11" r:id="rId10"/>
    <sheet name="saves SR" sheetId="12" r:id="rId11"/>
    <sheet name="Sheet5" sheetId="13" r:id="rId12"/>
    <sheet name="scorcher loop" sheetId="15" r:id="rId13"/>
    <sheet name="kits" sheetId="16" r:id="rId14"/>
    <sheet name="AC" sheetId="18" r:id="rId15"/>
    <sheet name="underused" sheetId="19" r:id="rId16"/>
    <sheet name="disablers" sheetId="21" r:id="rId17"/>
    <sheet name="lists" sheetId="23" r:id="rId18"/>
    <sheet name="SR IR notes" sheetId="25" r:id="rId19"/>
    <sheet name="kit plans" sheetId="26" r:id="rId20"/>
    <sheet name="WoL" sheetId="27" r:id="rId21"/>
    <sheet name="called shot" sheetId="22" r:id="rId22"/>
    <sheet name="any change" sheetId="28" r:id="rId23"/>
    <sheet name="all games" sheetId="29" r:id="rId24"/>
    <sheet name="Sheet7" sheetId="30" r:id="rId25"/>
    <sheet name="BWS" sheetId="31" r:id="rId26"/>
    <sheet name="poverty" sheetId="33" r:id="rId27"/>
    <sheet name="raise dead" sheetId="32" r:id="rId28"/>
  </sheets>
  <calcPr calcId="171027"/>
  <fileRecoveryPr autoRecover="0"/>
</workbook>
</file>

<file path=xl/calcChain.xml><?xml version="1.0" encoding="utf-8"?>
<calcChain xmlns="http://schemas.openxmlformats.org/spreadsheetml/2006/main">
  <c r="K212" i="22" l="1"/>
  <c r="K211" i="22"/>
  <c r="K210" i="22"/>
  <c r="K209" i="22"/>
  <c r="K208" i="22"/>
  <c r="J204" i="22"/>
  <c r="J203" i="22"/>
  <c r="J202" i="22"/>
  <c r="D3" i="22"/>
  <c r="O4" i="22"/>
  <c r="O6" i="22"/>
  <c r="O5" i="22"/>
  <c r="E188" i="22"/>
  <c r="E187" i="22"/>
  <c r="E195" i="22"/>
  <c r="G195" i="22"/>
  <c r="H196" i="22"/>
  <c r="E194" i="22"/>
  <c r="G191" i="22"/>
  <c r="H187" i="22"/>
  <c r="D192" i="22"/>
  <c r="D193" i="22" s="1"/>
  <c r="D194" i="22" s="1"/>
  <c r="D196" i="22"/>
  <c r="D197" i="22" s="1"/>
  <c r="D198" i="22" s="1"/>
  <c r="E198" i="22"/>
  <c r="E197" i="22"/>
  <c r="E196" i="22"/>
  <c r="E192" i="22"/>
  <c r="D188" i="22"/>
  <c r="I193" i="22"/>
  <c r="F194" i="22"/>
  <c r="F193" i="22"/>
  <c r="E193" i="22"/>
  <c r="E186" i="22"/>
  <c r="E185" i="22"/>
  <c r="E184" i="22"/>
  <c r="E181" i="22"/>
  <c r="G196" i="22" l="1"/>
  <c r="D171" i="22" l="1"/>
  <c r="D167" i="22"/>
  <c r="D166" i="22"/>
  <c r="D165" i="22"/>
  <c r="D164" i="22"/>
  <c r="C169" i="22"/>
  <c r="C168" i="22"/>
  <c r="C167" i="22"/>
  <c r="E168" i="22"/>
  <c r="G173" i="22"/>
  <c r="G172" i="22"/>
  <c r="G171" i="22"/>
  <c r="G170" i="22"/>
  <c r="G169" i="22"/>
  <c r="F170" i="22"/>
  <c r="F169" i="22"/>
  <c r="F165" i="22"/>
  <c r="F164" i="22"/>
  <c r="F163" i="22"/>
  <c r="G161" i="22"/>
  <c r="G160" i="22"/>
  <c r="G158" i="22"/>
  <c r="G156" i="22"/>
  <c r="C6" i="22"/>
  <c r="F155" i="22"/>
  <c r="F154" i="22"/>
  <c r="G152" i="22"/>
  <c r="F151" i="22"/>
  <c r="F152" i="22" s="1"/>
  <c r="F143" i="22"/>
  <c r="J38" i="22"/>
  <c r="J37" i="22"/>
  <c r="J36" i="22"/>
  <c r="J50" i="22"/>
  <c r="J52" i="22"/>
  <c r="N444" i="33"/>
  <c r="N443" i="33"/>
  <c r="N442" i="33"/>
  <c r="R270" i="33"/>
  <c r="R265" i="33"/>
  <c r="Q269" i="33"/>
  <c r="Q268" i="33"/>
  <c r="D260" i="33"/>
  <c r="D255" i="33"/>
  <c r="I354" i="33"/>
  <c r="I361" i="33"/>
  <c r="I360" i="33"/>
  <c r="Q376" i="33"/>
  <c r="M360" i="33"/>
  <c r="M359" i="33"/>
  <c r="K358" i="33"/>
  <c r="S371" i="33"/>
  <c r="Q373" i="33"/>
  <c r="R368" i="33"/>
  <c r="U347" i="33"/>
  <c r="T346" i="33"/>
  <c r="T345" i="33"/>
  <c r="S345" i="33"/>
  <c r="S346" i="33"/>
  <c r="S349" i="33"/>
  <c r="P347" i="33"/>
  <c r="S348" i="33"/>
  <c r="S347" i="33"/>
  <c r="C371" i="33"/>
  <c r="S354" i="33"/>
  <c r="S351" i="33"/>
  <c r="S350" i="33"/>
  <c r="R354" i="33"/>
  <c r="R353" i="33"/>
  <c r="R352" i="33"/>
  <c r="B355" i="33"/>
  <c r="B353" i="33"/>
  <c r="C357" i="33"/>
  <c r="P369" i="33"/>
  <c r="C366" i="33"/>
  <c r="K384" i="33"/>
  <c r="G382" i="33"/>
  <c r="F381" i="33"/>
  <c r="O378" i="33"/>
  <c r="E350" i="33"/>
  <c r="E349" i="33"/>
  <c r="L380" i="33"/>
  <c r="J378" i="33"/>
  <c r="I380" i="33"/>
  <c r="G375" i="33"/>
  <c r="G376" i="33" s="1"/>
  <c r="G374" i="33"/>
  <c r="G373" i="33"/>
  <c r="G372" i="33"/>
  <c r="F373" i="33"/>
  <c r="F372" i="33"/>
  <c r="E373" i="33"/>
  <c r="E372" i="33"/>
  <c r="C353" i="33"/>
  <c r="H366" i="33"/>
  <c r="N374" i="33"/>
  <c r="N373" i="33"/>
  <c r="N372" i="33"/>
  <c r="N371" i="33"/>
  <c r="N370" i="33"/>
  <c r="N369" i="33"/>
  <c r="N368" i="33"/>
  <c r="J361" i="33"/>
  <c r="H362" i="33"/>
  <c r="L362" i="33"/>
  <c r="L361" i="33"/>
  <c r="H363" i="33"/>
  <c r="H365" i="33"/>
  <c r="D4" i="22"/>
  <c r="G365" i="33"/>
  <c r="G366" i="33" s="1"/>
  <c r="G364" i="33"/>
  <c r="G363" i="33"/>
  <c r="G362" i="33"/>
  <c r="G361" i="33"/>
  <c r="G360" i="33"/>
  <c r="F362" i="33"/>
  <c r="F363" i="33"/>
  <c r="F364" i="33"/>
  <c r="F361" i="33"/>
  <c r="F360" i="33"/>
  <c r="R313" i="33"/>
  <c r="R311" i="33"/>
  <c r="R310" i="33"/>
  <c r="K346" i="33"/>
  <c r="L344" i="33"/>
  <c r="M239" i="33"/>
  <c r="E237" i="33"/>
  <c r="C241" i="33"/>
  <c r="C239" i="33"/>
  <c r="C240" i="33" s="1"/>
  <c r="C238" i="33"/>
  <c r="E235" i="33"/>
  <c r="G347" i="33"/>
  <c r="E344" i="33"/>
  <c r="C342" i="33"/>
  <c r="C343" i="33" s="1"/>
  <c r="P327" i="33"/>
  <c r="O327" i="33"/>
  <c r="K334" i="33"/>
  <c r="J334" i="33"/>
  <c r="N331" i="33"/>
  <c r="N330" i="33"/>
  <c r="S294" i="33"/>
  <c r="R304" i="33"/>
  <c r="R302" i="33"/>
  <c r="J321" i="33"/>
  <c r="J322" i="33" s="1"/>
  <c r="J320" i="33"/>
  <c r="I318" i="33"/>
  <c r="C310" i="33"/>
  <c r="C311" i="33" s="1"/>
  <c r="P317" i="33"/>
  <c r="P316" i="33"/>
  <c r="P315" i="33"/>
  <c r="P314" i="33"/>
  <c r="P313" i="33"/>
  <c r="P312" i="33"/>
  <c r="P311" i="33"/>
  <c r="H310" i="33"/>
  <c r="F309" i="33"/>
  <c r="E309" i="33"/>
  <c r="G309" i="33" s="1"/>
  <c r="F308" i="33"/>
  <c r="E308" i="33"/>
  <c r="G308" i="33" s="1"/>
  <c r="F307" i="33"/>
  <c r="E307" i="33"/>
  <c r="D309" i="33"/>
  <c r="C309" i="33"/>
  <c r="D308" i="33"/>
  <c r="C308" i="33"/>
  <c r="D307" i="33"/>
  <c r="C307" i="33"/>
  <c r="F312" i="33"/>
  <c r="G312" i="33"/>
  <c r="F314" i="33"/>
  <c r="G314" i="33"/>
  <c r="G313" i="33"/>
  <c r="G311" i="33"/>
  <c r="F313" i="33"/>
  <c r="F311" i="33"/>
  <c r="H312" i="33"/>
  <c r="L331" i="33"/>
  <c r="J331" i="33"/>
  <c r="O322" i="33"/>
  <c r="O321" i="33"/>
  <c r="H326" i="33"/>
  <c r="H327" i="33" s="1"/>
  <c r="H325" i="33"/>
  <c r="H322" i="33"/>
  <c r="H321" i="33"/>
  <c r="F319" i="33"/>
  <c r="F324" i="33"/>
  <c r="D322" i="33"/>
  <c r="D321" i="33"/>
  <c r="D320" i="33"/>
  <c r="R253" i="33"/>
  <c r="R252" i="33"/>
  <c r="G307" i="33" l="1"/>
  <c r="G310" i="33" s="1"/>
  <c r="H314" i="33"/>
  <c r="J238" i="33"/>
  <c r="J239" i="33" s="1"/>
  <c r="L238" i="33"/>
  <c r="L236" i="33"/>
  <c r="L235" i="33"/>
  <c r="N224" i="33"/>
  <c r="O222" i="33"/>
  <c r="O221" i="33"/>
  <c r="N220" i="33"/>
  <c r="M216" i="33"/>
  <c r="M199" i="33"/>
  <c r="M200" i="33" s="1"/>
  <c r="M201" i="33" s="1"/>
  <c r="K197" i="33"/>
  <c r="H233" i="33"/>
  <c r="H234" i="33" s="1"/>
  <c r="C226" i="33"/>
  <c r="C227" i="33"/>
  <c r="C228" i="33"/>
  <c r="C229" i="33"/>
  <c r="C230" i="33"/>
  <c r="D230" i="33"/>
  <c r="D229" i="33"/>
  <c r="D228" i="33"/>
  <c r="D227" i="33"/>
  <c r="D226" i="33"/>
  <c r="D225" i="33"/>
  <c r="C225" i="33"/>
  <c r="B205" i="33"/>
  <c r="C204" i="33" s="1"/>
  <c r="B195" i="33"/>
  <c r="C194" i="33" s="1"/>
  <c r="B187" i="33"/>
  <c r="C186" i="33" s="1"/>
  <c r="N188" i="33"/>
  <c r="J193" i="33"/>
  <c r="J192" i="33"/>
  <c r="K186" i="33"/>
  <c r="K187" i="33" s="1"/>
  <c r="G197" i="33"/>
  <c r="G198" i="33" s="1"/>
  <c r="E196" i="33"/>
  <c r="I192" i="33"/>
  <c r="I191" i="33"/>
  <c r="G190" i="33"/>
  <c r="G191" i="33" s="1"/>
  <c r="G192" i="33" s="1"/>
  <c r="G193" i="33" s="1"/>
  <c r="M191" i="33"/>
  <c r="M190" i="33"/>
  <c r="L189" i="33"/>
  <c r="L188" i="33"/>
  <c r="H183" i="33"/>
  <c r="G183" i="33"/>
  <c r="G182" i="33"/>
  <c r="H175" i="33"/>
  <c r="C183" i="33" l="1"/>
  <c r="D231" i="33"/>
  <c r="G229" i="33" s="1"/>
  <c r="J229" i="33" s="1"/>
  <c r="G225" i="33"/>
  <c r="J225" i="33" s="1"/>
  <c r="G228" i="33"/>
  <c r="J228" i="33" s="1"/>
  <c r="G226" i="33"/>
  <c r="J226" i="33" s="1"/>
  <c r="G230" i="33"/>
  <c r="J230" i="33" s="1"/>
  <c r="G227" i="33"/>
  <c r="J227" i="33" s="1"/>
  <c r="C184" i="33"/>
  <c r="C181" i="33"/>
  <c r="C185" i="33"/>
  <c r="C231" i="33"/>
  <c r="F227" i="33" s="1"/>
  <c r="I227" i="33" s="1"/>
  <c r="C182" i="33"/>
  <c r="C200" i="33"/>
  <c r="C202" i="33"/>
  <c r="C199" i="33"/>
  <c r="C205" i="33" s="1"/>
  <c r="C201" i="33"/>
  <c r="C203" i="33"/>
  <c r="C189" i="33"/>
  <c r="C190" i="33"/>
  <c r="C191" i="33"/>
  <c r="C193" i="33"/>
  <c r="C192" i="33"/>
  <c r="N176" i="33"/>
  <c r="N177" i="33" s="1"/>
  <c r="N175" i="33"/>
  <c r="M175" i="33"/>
  <c r="M169" i="33"/>
  <c r="M170" i="33" s="1"/>
  <c r="L169" i="33"/>
  <c r="L170" i="33" s="1"/>
  <c r="O169" i="33"/>
  <c r="L171" i="33"/>
  <c r="L167" i="33"/>
  <c r="C99" i="33"/>
  <c r="C92" i="33"/>
  <c r="C94" i="33" s="1"/>
  <c r="C95" i="33" s="1"/>
  <c r="B72" i="33"/>
  <c r="B77" i="33" s="1"/>
  <c r="C63" i="33"/>
  <c r="J62" i="33"/>
  <c r="I61" i="33"/>
  <c r="I60" i="33"/>
  <c r="I59" i="33"/>
  <c r="F226" i="33" l="1"/>
  <c r="I226" i="33" s="1"/>
  <c r="F230" i="33"/>
  <c r="I230" i="33" s="1"/>
  <c r="F225" i="33"/>
  <c r="I225" i="33" s="1"/>
  <c r="J231" i="33"/>
  <c r="C187" i="33"/>
  <c r="D200" i="33" s="1"/>
  <c r="F228" i="33"/>
  <c r="I228" i="33" s="1"/>
  <c r="F229" i="33"/>
  <c r="I229" i="33" s="1"/>
  <c r="C60" i="33"/>
  <c r="F177" i="33"/>
  <c r="J176" i="33"/>
  <c r="F145" i="33"/>
  <c r="P144" i="33"/>
  <c r="I145" i="33"/>
  <c r="I146" i="33" s="1"/>
  <c r="I144" i="33"/>
  <c r="I143" i="33"/>
  <c r="H143" i="33"/>
  <c r="H142" i="33"/>
  <c r="G149" i="33"/>
  <c r="C150" i="33"/>
  <c r="C151" i="33" s="1"/>
  <c r="C144" i="33"/>
  <c r="H124" i="33"/>
  <c r="G128" i="33"/>
  <c r="E127" i="33"/>
  <c r="E128" i="33" s="1"/>
  <c r="E129" i="33" s="1"/>
  <c r="D125" i="33"/>
  <c r="G123" i="33"/>
  <c r="G124" i="33" s="1"/>
  <c r="G125" i="33" s="1"/>
  <c r="N159" i="33"/>
  <c r="N160" i="33" s="1"/>
  <c r="M159" i="33"/>
  <c r="M160" i="33" s="1"/>
  <c r="I163" i="33"/>
  <c r="K159" i="33"/>
  <c r="K160" i="33" s="1"/>
  <c r="L159" i="33"/>
  <c r="L160" i="33" s="1"/>
  <c r="J153" i="33"/>
  <c r="G157" i="33"/>
  <c r="G154" i="33"/>
  <c r="P148" i="33"/>
  <c r="K143" i="33"/>
  <c r="O148" i="33"/>
  <c r="J147" i="33"/>
  <c r="J146" i="33"/>
  <c r="E148" i="33"/>
  <c r="E139" i="33"/>
  <c r="F141" i="33"/>
  <c r="G99" i="33"/>
  <c r="G98" i="33"/>
  <c r="I231" i="33" l="1"/>
  <c r="E117" i="33"/>
  <c r="E118" i="33" s="1"/>
  <c r="D117" i="33"/>
  <c r="C116" i="33"/>
  <c r="H108" i="33" l="1"/>
  <c r="H109" i="33" s="1"/>
  <c r="G108" i="33"/>
  <c r="G109" i="33" s="1"/>
  <c r="F108" i="33"/>
  <c r="F109" i="33" s="1"/>
  <c r="E108" i="33"/>
  <c r="E109" i="33" s="1"/>
  <c r="C108" i="33"/>
  <c r="C109" i="33" s="1"/>
  <c r="D108" i="33"/>
  <c r="D109" i="33" s="1"/>
  <c r="N84" i="33" l="1"/>
  <c r="N80" i="33"/>
  <c r="M80" i="33"/>
  <c r="M82" i="33" s="1"/>
  <c r="E98" i="33"/>
  <c r="E97" i="33"/>
  <c r="D94" i="33"/>
  <c r="D92" i="33"/>
  <c r="K60" i="33"/>
  <c r="L60" i="33"/>
  <c r="Q73" i="33"/>
  <c r="Q86" i="33"/>
  <c r="R81" i="33"/>
  <c r="R80" i="33"/>
  <c r="R79" i="33"/>
  <c r="R84" i="33"/>
  <c r="N82" i="33"/>
  <c r="E77" i="33"/>
  <c r="H80" i="33"/>
  <c r="H81" i="33" s="1"/>
  <c r="H78" i="33"/>
  <c r="K76" i="33"/>
  <c r="K77" i="33" s="1"/>
  <c r="K78" i="33" s="1"/>
  <c r="K79" i="33" s="1"/>
  <c r="H75" i="33"/>
  <c r="H76" i="33" s="1"/>
  <c r="D77" i="33"/>
  <c r="Q70" i="33"/>
  <c r="R70" i="33"/>
  <c r="Q71" i="33" s="1"/>
  <c r="L72" i="33"/>
  <c r="O70" i="33"/>
  <c r="O69" i="33"/>
  <c r="O68" i="33"/>
  <c r="O67" i="33"/>
  <c r="O66" i="33"/>
  <c r="O65" i="33"/>
  <c r="O64" i="33"/>
  <c r="O63" i="33"/>
  <c r="O62" i="33"/>
  <c r="N61" i="33"/>
  <c r="O61" i="33" s="1"/>
  <c r="J48" i="9"/>
  <c r="I47" i="9"/>
  <c r="H45" i="9"/>
  <c r="C47" i="33"/>
  <c r="H48" i="33"/>
  <c r="I52" i="33" s="1"/>
  <c r="H44" i="33"/>
  <c r="I49" i="33"/>
  <c r="M45" i="33"/>
  <c r="M40" i="33"/>
  <c r="K45" i="33"/>
  <c r="I45" i="33"/>
  <c r="B40" i="33"/>
  <c r="C40" i="33" s="1"/>
  <c r="C39" i="33"/>
  <c r="L26" i="33"/>
  <c r="L23" i="33"/>
  <c r="L24" i="33" s="1"/>
  <c r="L25" i="33" s="1"/>
  <c r="P30" i="33"/>
  <c r="O28" i="33"/>
  <c r="L9" i="33"/>
  <c r="H85" i="15"/>
  <c r="H91" i="15" s="1"/>
  <c r="H92" i="15" s="1"/>
  <c r="G85" i="15"/>
  <c r="G91" i="15" s="1"/>
  <c r="G92" i="15" s="1"/>
  <c r="F85" i="15"/>
  <c r="F91" i="15" s="1"/>
  <c r="F92" i="15" s="1"/>
  <c r="E85" i="15"/>
  <c r="E91" i="15" s="1"/>
  <c r="E92" i="15" s="1"/>
  <c r="D85" i="15"/>
  <c r="D91" i="15" s="1"/>
  <c r="D92" i="15" s="1"/>
  <c r="C85" i="15"/>
  <c r="C91" i="15" s="1"/>
  <c r="C92" i="15" s="1"/>
  <c r="N35" i="33"/>
  <c r="M457" i="31"/>
  <c r="M458" i="31" s="1"/>
  <c r="M456" i="31"/>
  <c r="L464" i="31"/>
  <c r="L465" i="31" s="1"/>
  <c r="J466" i="31"/>
  <c r="J465" i="31"/>
  <c r="J464" i="31"/>
  <c r="J463" i="31"/>
  <c r="J461" i="31"/>
  <c r="H464" i="31"/>
  <c r="H463" i="31"/>
  <c r="H461" i="31"/>
  <c r="F461" i="31"/>
  <c r="M445" i="31"/>
  <c r="M444" i="31"/>
  <c r="I456" i="31"/>
  <c r="H455" i="31"/>
  <c r="G456" i="31"/>
  <c r="I31" i="33"/>
  <c r="L4" i="33"/>
  <c r="O82" i="33" l="1"/>
  <c r="O84" i="33" s="1"/>
  <c r="N85" i="33"/>
  <c r="O85" i="33" s="1"/>
  <c r="B41" i="33"/>
  <c r="M448" i="31"/>
  <c r="J453" i="31"/>
  <c r="K453" i="31"/>
  <c r="K454" i="31" s="1"/>
  <c r="G451" i="31"/>
  <c r="G450" i="31"/>
  <c r="A458" i="31"/>
  <c r="B458" i="31"/>
  <c r="C458" i="31"/>
  <c r="D444" i="31"/>
  <c r="F446" i="31"/>
  <c r="H444" i="31"/>
  <c r="F439" i="31"/>
  <c r="H419" i="31"/>
  <c r="H418" i="31"/>
  <c r="H417" i="31"/>
  <c r="H416" i="31"/>
  <c r="P407" i="31"/>
  <c r="P406" i="31"/>
  <c r="N415" i="31"/>
  <c r="P410" i="31"/>
  <c r="N413" i="31"/>
  <c r="N412" i="31"/>
  <c r="N408" i="31"/>
  <c r="N407" i="31"/>
  <c r="M408" i="31"/>
  <c r="M407" i="31"/>
  <c r="L401" i="31"/>
  <c r="N401" i="31"/>
  <c r="M403" i="31"/>
  <c r="M401" i="31"/>
  <c r="L403" i="31"/>
  <c r="K431" i="31"/>
  <c r="L421" i="31"/>
  <c r="L424" i="31"/>
  <c r="K427" i="31"/>
  <c r="G432" i="31"/>
  <c r="B414" i="31"/>
  <c r="B411" i="31"/>
  <c r="D403" i="31"/>
  <c r="D404" i="31"/>
  <c r="D405" i="31"/>
  <c r="D406" i="31" s="1"/>
  <c r="C405" i="31"/>
  <c r="C406" i="31" s="1"/>
  <c r="C404" i="31"/>
  <c r="C403" i="31"/>
  <c r="O86" i="33" l="1"/>
  <c r="P81" i="33" s="1"/>
  <c r="B42" i="33"/>
  <c r="C41" i="33"/>
  <c r="N22" i="30"/>
  <c r="M22" i="30"/>
  <c r="M21" i="30"/>
  <c r="C42" i="33" l="1"/>
  <c r="B43" i="33"/>
  <c r="C43" i="33" s="1"/>
  <c r="D379" i="31"/>
  <c r="D378" i="31"/>
  <c r="D377" i="31"/>
  <c r="C44" i="33" l="1"/>
  <c r="B292" i="31"/>
  <c r="H244" i="31" l="1"/>
  <c r="G240" i="31"/>
  <c r="H353" i="31"/>
  <c r="G352" i="31"/>
  <c r="H344" i="31"/>
  <c r="H341" i="31"/>
  <c r="F344" i="31"/>
  <c r="K350" i="31"/>
  <c r="K349" i="31"/>
  <c r="K348" i="31"/>
  <c r="K347" i="31"/>
  <c r="F277" i="31"/>
  <c r="I351" i="31"/>
  <c r="I350" i="31"/>
  <c r="G347" i="31"/>
  <c r="G318" i="31"/>
  <c r="C341" i="31" l="1"/>
  <c r="F341" i="31"/>
  <c r="E329" i="31"/>
  <c r="G331" i="31"/>
  <c r="G330" i="31"/>
  <c r="F280" i="31"/>
  <c r="F279" i="31"/>
  <c r="D331" i="31"/>
  <c r="D330" i="31"/>
  <c r="F325" i="31"/>
  <c r="F324" i="31"/>
  <c r="F323" i="31"/>
  <c r="E324" i="31"/>
  <c r="E325" i="31"/>
  <c r="E323" i="31"/>
  <c r="H305" i="31"/>
  <c r="H306" i="31" s="1"/>
  <c r="H307" i="31" s="1"/>
  <c r="H308" i="31" s="1"/>
  <c r="H309" i="31" s="1"/>
  <c r="F303" i="31" l="1"/>
  <c r="F304" i="31" s="1"/>
  <c r="F305" i="31" s="1"/>
  <c r="F307" i="31" s="1"/>
  <c r="F308" i="31" s="1"/>
  <c r="E303" i="31"/>
  <c r="E304" i="31" s="1"/>
  <c r="E305" i="31" s="1"/>
  <c r="E307" i="31" s="1"/>
  <c r="E308" i="31" s="1"/>
  <c r="F309" i="31" l="1"/>
  <c r="F261" i="31"/>
  <c r="F262" i="31"/>
  <c r="F260" i="31"/>
  <c r="F259" i="31"/>
  <c r="I289" i="31"/>
  <c r="H294" i="31"/>
  <c r="G289" i="31"/>
  <c r="E283" i="31"/>
  <c r="E264" i="31" l="1"/>
  <c r="E262" i="31"/>
  <c r="E263" i="31" s="1"/>
  <c r="B247" i="31"/>
  <c r="C245" i="31"/>
  <c r="D245" i="31" s="1"/>
  <c r="C241" i="31"/>
  <c r="C242" i="31" s="1"/>
  <c r="F243" i="31"/>
  <c r="E243" i="31"/>
  <c r="E240" i="31"/>
  <c r="E242" i="31" s="1"/>
  <c r="C231" i="31"/>
  <c r="C232" i="31" s="1"/>
  <c r="C229" i="31"/>
  <c r="G235" i="31"/>
  <c r="G236" i="31" s="1"/>
  <c r="F235" i="31"/>
  <c r="F236" i="31" s="1"/>
  <c r="B240" i="31"/>
  <c r="B239" i="31"/>
  <c r="F238" i="31"/>
  <c r="D235" i="31"/>
  <c r="C246" i="31" l="1"/>
  <c r="B242" i="31"/>
  <c r="G229" i="31"/>
  <c r="E231" i="31"/>
  <c r="D231" i="31"/>
  <c r="I231" i="31"/>
  <c r="H228" i="31"/>
  <c r="I248" i="31"/>
  <c r="V286" i="31"/>
  <c r="V287" i="31" s="1"/>
  <c r="V285" i="31"/>
  <c r="H215" i="31"/>
  <c r="H219" i="31"/>
  <c r="H216" i="31"/>
  <c r="G210" i="31"/>
  <c r="G206" i="31"/>
  <c r="G207" i="31" s="1"/>
  <c r="G204" i="31"/>
  <c r="M29" i="33"/>
  <c r="K29" i="33"/>
  <c r="P26" i="33"/>
  <c r="P23" i="33"/>
  <c r="N23" i="33"/>
  <c r="N24" i="33" s="1"/>
  <c r="N25" i="33" s="1"/>
  <c r="L22" i="33"/>
  <c r="O12" i="33"/>
  <c r="N11" i="33"/>
  <c r="Q8" i="33"/>
  <c r="Q9" i="33" s="1"/>
  <c r="Q7" i="33"/>
  <c r="N19" i="33"/>
  <c r="J19" i="33"/>
  <c r="J18" i="33"/>
  <c r="I15" i="33"/>
  <c r="I14" i="33"/>
  <c r="H12" i="33"/>
  <c r="D14" i="33"/>
  <c r="H10" i="33"/>
  <c r="H11" i="33" s="1"/>
  <c r="O16" i="33"/>
  <c r="O15" i="33"/>
  <c r="N16" i="33"/>
  <c r="N15" i="33"/>
  <c r="P9" i="33"/>
  <c r="P8" i="33"/>
  <c r="K15" i="33"/>
  <c r="M11" i="33"/>
  <c r="M6" i="33"/>
  <c r="J12" i="33"/>
  <c r="F6" i="33"/>
  <c r="G6" i="33" s="1"/>
  <c r="F5" i="33"/>
  <c r="J5" i="33" s="1"/>
  <c r="J7" i="33" s="1"/>
  <c r="H195" i="31"/>
  <c r="H196" i="31" s="1"/>
  <c r="D192" i="31"/>
  <c r="D193" i="31" s="1"/>
  <c r="D194" i="31" s="1"/>
  <c r="P229" i="31"/>
  <c r="W215" i="31"/>
  <c r="P236" i="31"/>
  <c r="O237" i="31"/>
  <c r="O235" i="31"/>
  <c r="AB257" i="31"/>
  <c r="Z243" i="31"/>
  <c r="R232" i="31"/>
  <c r="R231" i="31"/>
  <c r="I5" i="33" l="1"/>
  <c r="H6" i="33"/>
  <c r="G5" i="33"/>
  <c r="G7" i="33" s="1"/>
  <c r="H5" i="33"/>
  <c r="I7" i="33"/>
  <c r="H7" i="33" l="1"/>
  <c r="I327" i="31"/>
  <c r="Q344" i="31"/>
  <c r="I335" i="31"/>
  <c r="P344" i="31"/>
  <c r="AH328" i="31"/>
  <c r="AH329" i="31" s="1"/>
  <c r="AH330" i="31" s="1"/>
  <c r="AG328" i="31"/>
  <c r="AG329" i="31" s="1"/>
  <c r="AG330" i="31" s="1"/>
  <c r="AF328" i="31"/>
  <c r="AF329" i="31" s="1"/>
  <c r="AF330" i="31" s="1"/>
  <c r="AE328" i="31"/>
  <c r="AE329" i="31" s="1"/>
  <c r="AE330" i="31" s="1"/>
  <c r="AD328" i="31"/>
  <c r="AD329" i="31" s="1"/>
  <c r="AD330" i="31" s="1"/>
  <c r="AC328" i="31"/>
  <c r="AC329" i="31" s="1"/>
  <c r="AC330" i="31" s="1"/>
  <c r="AA324" i="31"/>
  <c r="Z324" i="31"/>
  <c r="Y324" i="31"/>
  <c r="X324" i="31"/>
  <c r="W324" i="31"/>
  <c r="Y338" i="31"/>
  <c r="Y337" i="31"/>
  <c r="X328" i="31"/>
  <c r="X325" i="31"/>
  <c r="U315" i="31"/>
  <c r="U314" i="31"/>
  <c r="P321" i="31"/>
  <c r="V341" i="31"/>
  <c r="V340" i="31"/>
  <c r="O344" i="31"/>
  <c r="N344" i="31"/>
  <c r="M344" i="31"/>
  <c r="L344" i="31"/>
  <c r="O321" i="31"/>
  <c r="N321" i="31"/>
  <c r="M321" i="31"/>
  <c r="L321" i="31"/>
  <c r="Q321" i="31" l="1"/>
  <c r="R254" i="31"/>
  <c r="L260" i="31"/>
  <c r="J207" i="31"/>
  <c r="S378" i="29" l="1"/>
  <c r="S377" i="29"/>
  <c r="S376" i="29"/>
  <c r="R380" i="29"/>
  <c r="R381" i="29" s="1"/>
  <c r="R379" i="29"/>
  <c r="I382" i="29" l="1"/>
  <c r="H382" i="29"/>
  <c r="H378" i="29"/>
  <c r="H377" i="29"/>
  <c r="H380" i="29"/>
  <c r="H379" i="29"/>
  <c r="I377" i="29"/>
  <c r="I378" i="29"/>
  <c r="I379" i="29"/>
  <c r="I380" i="29"/>
  <c r="I381" i="29"/>
  <c r="H381" i="29"/>
  <c r="K385" i="29"/>
  <c r="O381" i="29"/>
  <c r="K381" i="29"/>
  <c r="M381" i="29"/>
  <c r="Q324" i="29"/>
  <c r="H342" i="29"/>
  <c r="K345" i="29"/>
  <c r="K344" i="29"/>
  <c r="I349" i="29"/>
  <c r="J349" i="29" s="1"/>
  <c r="K349" i="29" s="1"/>
  <c r="I348" i="29"/>
  <c r="I347" i="29"/>
  <c r="I346" i="29"/>
  <c r="I345" i="29"/>
  <c r="I350" i="29" s="1"/>
  <c r="I344" i="29"/>
  <c r="I342" i="29" l="1"/>
  <c r="G363" i="29"/>
  <c r="F363" i="29"/>
  <c r="E363" i="29"/>
  <c r="D363" i="29"/>
  <c r="C363" i="29"/>
  <c r="G362" i="29"/>
  <c r="F362" i="29"/>
  <c r="E362" i="29"/>
  <c r="D362" i="29"/>
  <c r="C362" i="29"/>
  <c r="G361" i="29"/>
  <c r="F361" i="29"/>
  <c r="E361" i="29"/>
  <c r="D361" i="29"/>
  <c r="C361" i="29"/>
  <c r="G360" i="29"/>
  <c r="F360" i="29"/>
  <c r="E360" i="29"/>
  <c r="D360" i="29"/>
  <c r="C360" i="29"/>
  <c r="G359" i="29"/>
  <c r="F359" i="29"/>
  <c r="E359" i="29"/>
  <c r="D359" i="29"/>
  <c r="C359" i="29"/>
  <c r="G358" i="29"/>
  <c r="F358" i="29"/>
  <c r="E358" i="29"/>
  <c r="D358" i="29"/>
  <c r="C358" i="29"/>
  <c r="G357" i="29"/>
  <c r="F357" i="29"/>
  <c r="E357" i="29"/>
  <c r="D357" i="29"/>
  <c r="C357" i="29"/>
  <c r="G356" i="29"/>
  <c r="F356" i="29"/>
  <c r="E356" i="29"/>
  <c r="D356" i="29"/>
  <c r="C356" i="29"/>
  <c r="G355" i="29"/>
  <c r="F355" i="29"/>
  <c r="E355" i="29"/>
  <c r="D355" i="29"/>
  <c r="C365" i="29"/>
  <c r="D365" i="29" s="1"/>
  <c r="C355" i="29"/>
  <c r="C354" i="29"/>
  <c r="D354" i="29" s="1"/>
  <c r="E354" i="29" s="1"/>
  <c r="F354" i="29" s="1"/>
  <c r="G354" i="29" s="1"/>
  <c r="B350" i="29"/>
  <c r="H350" i="29"/>
  <c r="G350" i="29"/>
  <c r="F350" i="29"/>
  <c r="E350" i="29"/>
  <c r="D350" i="29"/>
  <c r="C350" i="29"/>
  <c r="P324" i="29" l="1"/>
  <c r="Y324" i="29"/>
  <c r="Z323" i="29"/>
  <c r="Z322" i="29"/>
  <c r="Z321" i="29"/>
  <c r="Z320" i="29"/>
  <c r="Z319" i="29"/>
  <c r="Z318" i="29"/>
  <c r="Z315" i="29"/>
  <c r="Z314" i="29"/>
  <c r="Z313" i="29"/>
  <c r="Z312" i="29"/>
  <c r="Z311" i="29"/>
  <c r="Z310" i="29"/>
  <c r="Y316" i="29"/>
  <c r="Z324" i="29" l="1"/>
  <c r="Z316" i="29"/>
  <c r="R328" i="29"/>
  <c r="Q329" i="29"/>
  <c r="Q328" i="29"/>
  <c r="J324" i="29"/>
  <c r="U320" i="29"/>
  <c r="U319" i="29"/>
  <c r="T318" i="29"/>
  <c r="T322" i="29"/>
  <c r="T321" i="29"/>
  <c r="S322" i="29"/>
  <c r="S321" i="29"/>
  <c r="O324" i="29"/>
  <c r="S315" i="29"/>
  <c r="S314" i="29"/>
  <c r="S313" i="29"/>
  <c r="S312" i="29"/>
  <c r="S311" i="29"/>
  <c r="S310" i="29"/>
  <c r="R316" i="29"/>
  <c r="N340" i="29"/>
  <c r="M340" i="29"/>
  <c r="M339" i="29"/>
  <c r="L337" i="29"/>
  <c r="L336" i="29"/>
  <c r="N324" i="29"/>
  <c r="W315" i="29"/>
  <c r="W314" i="29"/>
  <c r="W313" i="29"/>
  <c r="W312" i="29"/>
  <c r="W311" i="29"/>
  <c r="W310" i="29"/>
  <c r="U315" i="29"/>
  <c r="U314" i="29"/>
  <c r="U313" i="29"/>
  <c r="U312" i="29"/>
  <c r="U311" i="29"/>
  <c r="U310" i="29"/>
  <c r="T316" i="29"/>
  <c r="V316" i="29"/>
  <c r="M324" i="29"/>
  <c r="S316" i="29" l="1"/>
  <c r="W316" i="29"/>
  <c r="U316" i="29"/>
  <c r="E324" i="29" l="1"/>
  <c r="C309" i="29" l="1"/>
  <c r="L324" i="29"/>
  <c r="H324" i="29"/>
  <c r="B338" i="29"/>
  <c r="C338" i="29"/>
  <c r="D338" i="29"/>
  <c r="E338" i="29"/>
  <c r="F338" i="29"/>
  <c r="G338" i="29"/>
  <c r="B337" i="29"/>
  <c r="C337" i="29"/>
  <c r="D337" i="29"/>
  <c r="E337" i="29"/>
  <c r="F337" i="29"/>
  <c r="G337" i="29"/>
  <c r="G336" i="29"/>
  <c r="F336" i="29"/>
  <c r="E336" i="29"/>
  <c r="D336" i="29"/>
  <c r="C336" i="29"/>
  <c r="B336" i="29"/>
  <c r="C327" i="29"/>
  <c r="C326" i="29"/>
  <c r="C325" i="29"/>
  <c r="D322" i="29"/>
  <c r="D321" i="29"/>
  <c r="C321" i="29"/>
  <c r="G324" i="29"/>
  <c r="K324" i="29"/>
  <c r="B321" i="29"/>
  <c r="I324" i="29"/>
  <c r="F324" i="29"/>
  <c r="D309" i="29"/>
  <c r="P55" i="32" l="1"/>
  <c r="R52" i="32"/>
  <c r="Q52" i="32"/>
  <c r="P52" i="32"/>
  <c r="O52" i="32"/>
  <c r="L55" i="32"/>
  <c r="M55" i="32"/>
  <c r="M56" i="32" s="1"/>
  <c r="M57" i="32" s="1"/>
  <c r="M58" i="32" s="1"/>
  <c r="B43" i="32"/>
  <c r="J54" i="32"/>
  <c r="E61" i="32"/>
  <c r="F50" i="32"/>
  <c r="F49" i="32"/>
  <c r="F48" i="32"/>
  <c r="F47" i="32"/>
  <c r="F46" i="32"/>
  <c r="F45" i="32"/>
  <c r="F44" i="32"/>
  <c r="F43" i="32"/>
  <c r="F42" i="32"/>
  <c r="F41" i="32"/>
  <c r="F40" i="32"/>
  <c r="E35" i="32"/>
  <c r="E34" i="32"/>
  <c r="H36" i="32"/>
  <c r="H37" i="32" s="1"/>
  <c r="F26" i="32"/>
  <c r="T38" i="32"/>
  <c r="T37" i="32"/>
  <c r="T36" i="32"/>
  <c r="T35" i="32"/>
  <c r="T34" i="32"/>
  <c r="T33" i="32"/>
  <c r="T32" i="32"/>
  <c r="T31" i="32"/>
  <c r="T30" i="32"/>
  <c r="T29" i="32"/>
  <c r="S38" i="32"/>
  <c r="S37" i="32"/>
  <c r="S36" i="32"/>
  <c r="S35" i="32"/>
  <c r="S34" i="32"/>
  <c r="S33" i="32"/>
  <c r="S32" i="32"/>
  <c r="S31" i="32"/>
  <c r="S30" i="32"/>
  <c r="S29" i="32"/>
  <c r="S28" i="32"/>
  <c r="S27" i="32"/>
  <c r="S26" i="32"/>
  <c r="S25" i="32"/>
  <c r="S24" i="32"/>
  <c r="S23" i="32"/>
  <c r="S22" i="32"/>
  <c r="R38" i="32"/>
  <c r="R37" i="32"/>
  <c r="R36" i="32"/>
  <c r="R35" i="32"/>
  <c r="R34" i="32"/>
  <c r="R33" i="32"/>
  <c r="R32" i="32"/>
  <c r="R31" i="32"/>
  <c r="R30" i="32"/>
  <c r="R29" i="32"/>
  <c r="R28" i="32"/>
  <c r="R27" i="32"/>
  <c r="R26" i="32"/>
  <c r="R25" i="32"/>
  <c r="R24" i="32"/>
  <c r="R23" i="32"/>
  <c r="R22" i="32"/>
  <c r="R21" i="32"/>
  <c r="R20" i="32"/>
  <c r="Q38" i="32"/>
  <c r="Q37" i="32"/>
  <c r="Q36" i="32"/>
  <c r="Q35" i="32"/>
  <c r="Q34" i="32"/>
  <c r="Q33" i="32"/>
  <c r="Q32" i="32"/>
  <c r="Q31" i="32"/>
  <c r="Q30" i="32"/>
  <c r="Q29" i="32"/>
  <c r="Q28" i="32"/>
  <c r="Q27" i="32"/>
  <c r="Q26" i="32"/>
  <c r="Q25" i="32"/>
  <c r="Q24" i="32"/>
  <c r="Q23" i="32"/>
  <c r="Q22" i="32"/>
  <c r="Q21" i="32"/>
  <c r="Q20" i="32"/>
  <c r="Q19" i="32"/>
  <c r="R287" i="31" l="1"/>
  <c r="R288" i="31" s="1"/>
  <c r="R289" i="31" s="1"/>
  <c r="R290" i="31" s="1"/>
  <c r="R291" i="31" s="1"/>
  <c r="R292" i="31" s="1"/>
  <c r="R293" i="31" s="1"/>
  <c r="R294" i="31" s="1"/>
  <c r="R295" i="31" s="1"/>
  <c r="R296" i="31" s="1"/>
  <c r="R297" i="31" s="1"/>
  <c r="R298" i="31" s="1"/>
  <c r="R299" i="31" s="1"/>
  <c r="R300" i="31" s="1"/>
  <c r="R301" i="31" s="1"/>
  <c r="R302" i="31" s="1"/>
  <c r="R303" i="31" s="1"/>
  <c r="R304" i="31" s="1"/>
  <c r="R305" i="31" s="1"/>
  <c r="R306" i="31" s="1"/>
  <c r="R307" i="31" s="1"/>
  <c r="R308" i="31" s="1"/>
  <c r="R309" i="31" s="1"/>
  <c r="R310" i="31" s="1"/>
  <c r="R311" i="31" s="1"/>
  <c r="R312" i="31" s="1"/>
  <c r="R313" i="31" s="1"/>
  <c r="R314" i="31" s="1"/>
  <c r="R315" i="31" s="1"/>
  <c r="R316" i="31" s="1"/>
  <c r="R317" i="31" s="1"/>
  <c r="R318" i="31" s="1"/>
  <c r="R319" i="31" s="1"/>
  <c r="R320" i="31" s="1"/>
  <c r="R321" i="31" s="1"/>
  <c r="R322" i="31" s="1"/>
  <c r="R323" i="31" s="1"/>
  <c r="R324" i="31" s="1"/>
  <c r="R325" i="31" s="1"/>
  <c r="R326" i="31" s="1"/>
  <c r="R327" i="31" s="1"/>
  <c r="R328" i="31" s="1"/>
  <c r="R329" i="31" s="1"/>
  <c r="R330" i="31" s="1"/>
  <c r="R331" i="31" s="1"/>
  <c r="R332" i="31" s="1"/>
  <c r="R333" i="31" s="1"/>
  <c r="R334" i="31" s="1"/>
  <c r="R335" i="31" s="1"/>
  <c r="R336" i="31" s="1"/>
  <c r="R337" i="31" s="1"/>
  <c r="R338" i="31" s="1"/>
  <c r="R339" i="31" s="1"/>
  <c r="R340" i="31" s="1"/>
  <c r="R341" i="31" s="1"/>
  <c r="R342" i="31" s="1"/>
  <c r="R343" i="31" s="1"/>
  <c r="R344" i="31" s="1"/>
  <c r="R345" i="31" s="1"/>
  <c r="R346" i="31" s="1"/>
  <c r="R347" i="31" s="1"/>
  <c r="R348" i="31" s="1"/>
  <c r="R349" i="31" s="1"/>
  <c r="R350" i="31" s="1"/>
  <c r="R351" i="31" s="1"/>
  <c r="R352" i="31" s="1"/>
  <c r="R353" i="31" s="1"/>
  <c r="R354" i="31" s="1"/>
  <c r="R355" i="31" s="1"/>
  <c r="R356" i="31" s="1"/>
  <c r="R357" i="31" s="1"/>
  <c r="R358" i="31" s="1"/>
  <c r="R359" i="31" s="1"/>
  <c r="R360" i="31" s="1"/>
  <c r="R361" i="31" s="1"/>
  <c r="R362" i="31" s="1"/>
  <c r="R363" i="31" s="1"/>
  <c r="R364" i="31" s="1"/>
  <c r="R365" i="31" s="1"/>
  <c r="R366" i="31" s="1"/>
  <c r="R367" i="31" s="1"/>
  <c r="R368" i="31" s="1"/>
  <c r="R369" i="31" s="1"/>
  <c r="R370" i="31" s="1"/>
  <c r="R371" i="31" s="1"/>
  <c r="R372" i="31" s="1"/>
  <c r="R373" i="31" s="1"/>
  <c r="R374" i="31" s="1"/>
  <c r="R375" i="31" s="1"/>
  <c r="R376" i="31" s="1"/>
  <c r="R377" i="31" s="1"/>
  <c r="R378" i="31" s="1"/>
  <c r="R379" i="31" s="1"/>
  <c r="R380" i="31" s="1"/>
  <c r="R381" i="31" s="1"/>
  <c r="R382" i="31" s="1"/>
  <c r="R383" i="31" s="1"/>
  <c r="R384" i="31" s="1"/>
  <c r="R385" i="31" s="1"/>
  <c r="R386" i="31" s="1"/>
  <c r="R387" i="31" s="1"/>
  <c r="R388" i="31" s="1"/>
  <c r="R389" i="31" s="1"/>
  <c r="R390" i="31" s="1"/>
  <c r="R391" i="31" s="1"/>
  <c r="R392" i="31" s="1"/>
  <c r="R393" i="31" s="1"/>
  <c r="R394" i="31" s="1"/>
  <c r="R395" i="31" s="1"/>
  <c r="R396" i="31" s="1"/>
  <c r="R397" i="31" s="1"/>
  <c r="R398" i="31" s="1"/>
  <c r="R399" i="31" s="1"/>
  <c r="R400" i="31" s="1"/>
  <c r="R401" i="31" s="1"/>
  <c r="R402" i="31" s="1"/>
  <c r="R403" i="31" s="1"/>
  <c r="R404" i="31" s="1"/>
  <c r="R405" i="31" s="1"/>
  <c r="R406" i="31" s="1"/>
  <c r="R407" i="31" s="1"/>
  <c r="R408" i="31" s="1"/>
  <c r="R409" i="31" s="1"/>
  <c r="S286" i="31"/>
  <c r="S287" i="31" s="1"/>
  <c r="S288" i="31" s="1"/>
  <c r="S289" i="31" s="1"/>
  <c r="S290" i="31" s="1"/>
  <c r="S291" i="31" s="1"/>
  <c r="S292" i="31" s="1"/>
  <c r="S293" i="31" s="1"/>
  <c r="S294" i="31" s="1"/>
  <c r="S295" i="31" s="1"/>
  <c r="S296" i="31" s="1"/>
  <c r="S297" i="31" s="1"/>
  <c r="S298" i="31" s="1"/>
  <c r="S299" i="31" s="1"/>
  <c r="S300" i="31" s="1"/>
  <c r="S301" i="31" s="1"/>
  <c r="S302" i="31" s="1"/>
  <c r="S303" i="31" s="1"/>
  <c r="S304" i="31" s="1"/>
  <c r="S305" i="31" s="1"/>
  <c r="S306" i="31" s="1"/>
  <c r="S307" i="31" s="1"/>
  <c r="S308" i="31" s="1"/>
  <c r="S309" i="31" s="1"/>
  <c r="S310" i="31" s="1"/>
  <c r="S311" i="31" s="1"/>
  <c r="S312" i="31" s="1"/>
  <c r="S313" i="31" s="1"/>
  <c r="S314" i="31" s="1"/>
  <c r="S315" i="31" s="1"/>
  <c r="S316" i="31" s="1"/>
  <c r="S317" i="31" s="1"/>
  <c r="S318" i="31" s="1"/>
  <c r="S319" i="31" s="1"/>
  <c r="S320" i="31" s="1"/>
  <c r="S321" i="31" s="1"/>
  <c r="S322" i="31" s="1"/>
  <c r="S323" i="31" s="1"/>
  <c r="S324" i="31" s="1"/>
  <c r="S325" i="31" s="1"/>
  <c r="S326" i="31" s="1"/>
  <c r="S327" i="31" s="1"/>
  <c r="S328" i="31" s="1"/>
  <c r="S329" i="31" s="1"/>
  <c r="S330" i="31" s="1"/>
  <c r="S331" i="31" s="1"/>
  <c r="S332" i="31" s="1"/>
  <c r="S333" i="31" s="1"/>
  <c r="S334" i="31" s="1"/>
  <c r="S335" i="31" s="1"/>
  <c r="S336" i="31" s="1"/>
  <c r="S337" i="31" s="1"/>
  <c r="S338" i="31" s="1"/>
  <c r="S339" i="31" s="1"/>
  <c r="S340" i="31" s="1"/>
  <c r="S341" i="31" s="1"/>
  <c r="S342" i="31" s="1"/>
  <c r="S343" i="31" s="1"/>
  <c r="S344" i="31" s="1"/>
  <c r="S345" i="31" s="1"/>
  <c r="S346" i="31" s="1"/>
  <c r="S347" i="31" s="1"/>
  <c r="S348" i="31" s="1"/>
  <c r="S349" i="31" s="1"/>
  <c r="S350" i="31" s="1"/>
  <c r="S351" i="31" s="1"/>
  <c r="S352" i="31" s="1"/>
  <c r="S353" i="31" s="1"/>
  <c r="S354" i="31" s="1"/>
  <c r="S355" i="31" s="1"/>
  <c r="S356" i="31" s="1"/>
  <c r="S357" i="31" s="1"/>
  <c r="S358" i="31" s="1"/>
  <c r="S359" i="31" s="1"/>
  <c r="S360" i="31" s="1"/>
  <c r="S361" i="31" s="1"/>
  <c r="S362" i="31" s="1"/>
  <c r="S363" i="31" s="1"/>
  <c r="S364" i="31" s="1"/>
  <c r="S365" i="31" s="1"/>
  <c r="S366" i="31" s="1"/>
  <c r="S367" i="31" s="1"/>
  <c r="S368" i="31" s="1"/>
  <c r="S369" i="31" s="1"/>
  <c r="S370" i="31" s="1"/>
  <c r="S371" i="31" s="1"/>
  <c r="S372" i="31" s="1"/>
  <c r="S373" i="31" s="1"/>
  <c r="S374" i="31" s="1"/>
  <c r="S375" i="31" s="1"/>
  <c r="S376" i="31" s="1"/>
  <c r="S377" i="31" s="1"/>
  <c r="S378" i="31" s="1"/>
  <c r="S379" i="31" s="1"/>
  <c r="S380" i="31" s="1"/>
  <c r="S381" i="31" s="1"/>
  <c r="S382" i="31" s="1"/>
  <c r="S383" i="31" s="1"/>
  <c r="S384" i="31" s="1"/>
  <c r="S385" i="31" s="1"/>
  <c r="S386" i="31" l="1"/>
  <c r="S387" i="31" s="1"/>
  <c r="S388" i="31" s="1"/>
  <c r="S389" i="31" s="1"/>
  <c r="S390" i="31" s="1"/>
  <c r="S391" i="31" s="1"/>
  <c r="S392" i="31" s="1"/>
  <c r="S393" i="31" s="1"/>
  <c r="S394" i="31" s="1"/>
  <c r="S395" i="31" s="1"/>
  <c r="S396" i="31" s="1"/>
  <c r="S397" i="31" s="1"/>
  <c r="S398" i="31" s="1"/>
  <c r="S399" i="31" s="1"/>
  <c r="S400" i="31" s="1"/>
  <c r="S401" i="31" s="1"/>
  <c r="S402" i="31" s="1"/>
  <c r="S403" i="31" s="1"/>
  <c r="S404" i="31" s="1"/>
  <c r="S405" i="31" s="1"/>
  <c r="S406" i="31" s="1"/>
  <c r="S407" i="31" s="1"/>
  <c r="S408" i="31" s="1"/>
  <c r="S409" i="31" s="1"/>
  <c r="S282" i="31"/>
  <c r="R280" i="31"/>
  <c r="Q280" i="31"/>
  <c r="Q281" i="31" s="1"/>
  <c r="Q282" i="31" s="1"/>
  <c r="R229" i="31" l="1"/>
  <c r="P218" i="31" l="1"/>
  <c r="J205" i="31"/>
  <c r="V206" i="31"/>
  <c r="J10" i="15"/>
  <c r="I4" i="15"/>
  <c r="I3" i="15"/>
  <c r="J3" i="15"/>
  <c r="K3" i="15"/>
  <c r="K5" i="15"/>
  <c r="J5" i="15"/>
  <c r="K4" i="15"/>
  <c r="J4" i="15"/>
  <c r="I260" i="31"/>
  <c r="I261" i="31" s="1"/>
  <c r="I262" i="31" s="1"/>
  <c r="I263" i="31" s="1"/>
  <c r="I264" i="31" s="1"/>
  <c r="I265" i="31" s="1"/>
  <c r="I266" i="31" s="1"/>
  <c r="J260" i="31"/>
  <c r="J261" i="31" s="1"/>
  <c r="J262" i="31" s="1"/>
  <c r="J263" i="31" l="1"/>
  <c r="J264" i="31" s="1"/>
  <c r="J265" i="31" s="1"/>
  <c r="J266" i="31" s="1"/>
  <c r="I89" i="15"/>
  <c r="I88" i="15"/>
  <c r="I104" i="15"/>
  <c r="I103" i="15"/>
  <c r="D101" i="15"/>
  <c r="D100" i="15"/>
  <c r="G105" i="15"/>
  <c r="G106" i="15"/>
  <c r="F106" i="15"/>
  <c r="F105" i="15"/>
  <c r="D97" i="15"/>
  <c r="D107" i="15"/>
  <c r="H108" i="15"/>
  <c r="H107" i="15"/>
  <c r="D106" i="15"/>
  <c r="C104" i="15"/>
  <c r="C103" i="15"/>
  <c r="D103" i="15"/>
  <c r="D96" i="15"/>
  <c r="M101" i="15"/>
  <c r="L101" i="15"/>
  <c r="K99" i="15"/>
  <c r="G101" i="15"/>
  <c r="F101" i="15"/>
  <c r="K101" i="15"/>
  <c r="N106" i="15"/>
  <c r="J101" i="15"/>
  <c r="J99" i="15"/>
  <c r="K95" i="15"/>
  <c r="M78" i="15"/>
  <c r="M77" i="15"/>
  <c r="P74" i="15" l="1"/>
  <c r="P73" i="15"/>
  <c r="O71" i="15"/>
  <c r="O72" i="15"/>
  <c r="O73" i="15" s="1"/>
  <c r="O74" i="15"/>
  <c r="K75" i="15"/>
  <c r="K74" i="15"/>
  <c r="K73" i="15"/>
  <c r="K72" i="15"/>
  <c r="H75" i="15"/>
  <c r="G75" i="15"/>
  <c r="G81" i="15" s="1"/>
  <c r="G82" i="15" s="1"/>
  <c r="F75" i="15"/>
  <c r="E75" i="15"/>
  <c r="D75" i="15"/>
  <c r="C75" i="15"/>
  <c r="C81" i="15" s="1"/>
  <c r="C82" i="15" s="1"/>
  <c r="D81" i="15"/>
  <c r="D82" i="15" s="1"/>
  <c r="H81" i="15"/>
  <c r="H82" i="15" s="1"/>
  <c r="F81" i="15"/>
  <c r="F82" i="15" s="1"/>
  <c r="E81" i="15"/>
  <c r="E82" i="15" s="1"/>
  <c r="N196" i="31" l="1"/>
  <c r="L198" i="31"/>
  <c r="L199" i="31"/>
  <c r="L200" i="31" s="1"/>
  <c r="P197" i="31"/>
  <c r="P198" i="31" s="1"/>
  <c r="P199" i="31" s="1"/>
  <c r="O202" i="31"/>
  <c r="N200" i="31"/>
  <c r="O203" i="31" s="1"/>
  <c r="V200" i="31"/>
  <c r="V199" i="31"/>
  <c r="V198" i="31"/>
  <c r="V197" i="31"/>
  <c r="R198" i="31"/>
  <c r="R199" i="31"/>
  <c r="R202" i="31" s="1"/>
  <c r="R201" i="31"/>
  <c r="R200" i="31"/>
  <c r="Q199" i="31"/>
  <c r="V201" i="31" l="1"/>
  <c r="V202" i="31" s="1"/>
  <c r="S202" i="31"/>
  <c r="W183" i="31"/>
  <c r="U184" i="31"/>
  <c r="U185" i="31" s="1"/>
  <c r="R185" i="31"/>
  <c r="R186" i="31" s="1"/>
  <c r="T189" i="31" s="1"/>
  <c r="T188" i="31"/>
  <c r="S183" i="31"/>
  <c r="T183" i="31" s="1"/>
  <c r="U183" i="31" s="1"/>
  <c r="Q186" i="31"/>
  <c r="Q185" i="31"/>
  <c r="U186" i="31" l="1"/>
  <c r="S187" i="31"/>
  <c r="S188" i="31" s="1"/>
  <c r="T190" i="31"/>
  <c r="S184" i="31"/>
  <c r="X186" i="31"/>
  <c r="V187" i="31"/>
  <c r="V188" i="31" s="1"/>
  <c r="V189" i="31" s="1"/>
  <c r="V186" i="31"/>
  <c r="T186" i="31"/>
  <c r="T185" i="31"/>
  <c r="Y136" i="31"/>
  <c r="Y137" i="31" s="1"/>
  <c r="Y138" i="31" s="1"/>
  <c r="Y139" i="31" s="1"/>
  <c r="Y140" i="31" s="1"/>
  <c r="Y141" i="31" s="1"/>
  <c r="Y142" i="31" s="1"/>
  <c r="Y143" i="31" s="1"/>
  <c r="Y144" i="31" s="1"/>
  <c r="Y145" i="31" s="1"/>
  <c r="Y146" i="31" s="1"/>
  <c r="Y147" i="31" s="1"/>
  <c r="Y148" i="31" s="1"/>
  <c r="Y149" i="31" s="1"/>
  <c r="Y150" i="31" s="1"/>
  <c r="Y151" i="31" s="1"/>
  <c r="Y152" i="31" s="1"/>
  <c r="P136" i="31"/>
  <c r="P137" i="31" s="1"/>
  <c r="P138" i="31" s="1"/>
  <c r="P139" i="31" s="1"/>
  <c r="P140" i="31" s="1"/>
  <c r="P141" i="31" s="1"/>
  <c r="P142" i="31" s="1"/>
  <c r="P143" i="31" s="1"/>
  <c r="P144" i="31" s="1"/>
  <c r="P145" i="31" s="1"/>
  <c r="P146" i="31" s="1"/>
  <c r="P147" i="31" s="1"/>
  <c r="P148" i="31" s="1"/>
  <c r="P149" i="31" s="1"/>
  <c r="P150" i="31" s="1"/>
  <c r="P151" i="31" s="1"/>
  <c r="P152" i="31" s="1"/>
  <c r="V136" i="31"/>
  <c r="V137" i="31" s="1"/>
  <c r="V138" i="31" s="1"/>
  <c r="V139" i="31" s="1"/>
  <c r="V140" i="31" s="1"/>
  <c r="V141" i="31" s="1"/>
  <c r="V142" i="31" s="1"/>
  <c r="V143" i="31" s="1"/>
  <c r="V144" i="31" s="1"/>
  <c r="V145" i="31" s="1"/>
  <c r="V146" i="31" s="1"/>
  <c r="V147" i="31" s="1"/>
  <c r="V148" i="31" s="1"/>
  <c r="V149" i="31" s="1"/>
  <c r="V150" i="31" s="1"/>
  <c r="V151" i="31" s="1"/>
  <c r="V152" i="31" s="1"/>
  <c r="S136" i="31"/>
  <c r="S137" i="31" s="1"/>
  <c r="S138" i="31" s="1"/>
  <c r="S139" i="31" s="1"/>
  <c r="S140" i="31" s="1"/>
  <c r="S141" i="31" s="1"/>
  <c r="S142" i="31" s="1"/>
  <c r="S143" i="31" s="1"/>
  <c r="S144" i="31" s="1"/>
  <c r="S145" i="31" s="1"/>
  <c r="S146" i="31" s="1"/>
  <c r="S147" i="31" s="1"/>
  <c r="S148" i="31" s="1"/>
  <c r="S149" i="31" s="1"/>
  <c r="S150" i="31" s="1"/>
  <c r="S151" i="31" s="1"/>
  <c r="S152" i="31" s="1"/>
  <c r="M136" i="31"/>
  <c r="M137" i="31" s="1"/>
  <c r="M138" i="31" s="1"/>
  <c r="M139" i="31" s="1"/>
  <c r="M140" i="31" s="1"/>
  <c r="M141" i="31" s="1"/>
  <c r="M142" i="31" s="1"/>
  <c r="M143" i="31" s="1"/>
  <c r="M144" i="31" s="1"/>
  <c r="M145" i="31" s="1"/>
  <c r="M146" i="31" s="1"/>
  <c r="M147" i="31" s="1"/>
  <c r="M148" i="31" s="1"/>
  <c r="M149" i="31" s="1"/>
  <c r="M150" i="31" s="1"/>
  <c r="M151" i="31" s="1"/>
  <c r="M152" i="31" s="1"/>
  <c r="J136" i="31"/>
  <c r="J137" i="31" s="1"/>
  <c r="J138" i="31" s="1"/>
  <c r="J139" i="31" s="1"/>
  <c r="J141" i="31" s="1"/>
  <c r="J142" i="31" s="1"/>
  <c r="J143" i="31" s="1"/>
  <c r="J144" i="31" s="1"/>
  <c r="J145" i="31" s="1"/>
  <c r="J147" i="31" s="1"/>
  <c r="J148" i="31" s="1"/>
  <c r="J149" i="31" s="1"/>
  <c r="J150" i="31" s="1"/>
  <c r="J151" i="31" s="1"/>
  <c r="J152" i="31" s="1"/>
  <c r="G136" i="31"/>
  <c r="G137" i="31" s="1"/>
  <c r="G138" i="31" s="1"/>
  <c r="G139" i="31" s="1"/>
  <c r="G141" i="31" s="1"/>
  <c r="G142" i="31" s="1"/>
  <c r="G143" i="31" s="1"/>
  <c r="G144" i="31" s="1"/>
  <c r="G145" i="31" s="1"/>
  <c r="G147" i="31" s="1"/>
  <c r="G148" i="31" s="1"/>
  <c r="G149" i="31" s="1"/>
  <c r="G150" i="31" s="1"/>
  <c r="G151" i="31" s="1"/>
  <c r="E130" i="31"/>
  <c r="E129" i="31"/>
  <c r="H112" i="31" l="1"/>
  <c r="H111" i="31"/>
  <c r="H106" i="31"/>
  <c r="H104" i="31"/>
  <c r="H103" i="31"/>
  <c r="G103" i="31"/>
  <c r="G104" i="31" s="1"/>
  <c r="B115" i="31"/>
  <c r="B116" i="31" s="1"/>
  <c r="C115" i="31"/>
  <c r="C116" i="31" s="1"/>
  <c r="I105" i="31"/>
  <c r="I106" i="31" s="1"/>
  <c r="I107" i="31" s="1"/>
  <c r="I108" i="31" s="1"/>
  <c r="I109" i="31" s="1"/>
  <c r="Q93" i="31"/>
  <c r="R93" i="31" s="1"/>
  <c r="M93" i="31"/>
  <c r="N93" i="31" s="1"/>
  <c r="O93" i="31" s="1"/>
  <c r="E92" i="31"/>
  <c r="I91" i="31"/>
  <c r="I92" i="31" s="1"/>
  <c r="H91" i="31"/>
  <c r="H92" i="31" s="1"/>
  <c r="G91" i="31"/>
  <c r="G92" i="31" s="1"/>
  <c r="J92" i="31" l="1"/>
  <c r="S93" i="31"/>
  <c r="E46" i="31" l="1"/>
  <c r="D78" i="31" l="1"/>
  <c r="M73" i="31"/>
  <c r="L72" i="31"/>
  <c r="J68" i="31" l="1"/>
  <c r="J69" i="31" s="1"/>
  <c r="C78" i="31" l="1"/>
  <c r="S68" i="31"/>
  <c r="S69" i="31" s="1"/>
  <c r="R68" i="31"/>
  <c r="R69" i="31" s="1"/>
  <c r="Q68" i="31"/>
  <c r="Q69" i="31" s="1"/>
  <c r="P68" i="31"/>
  <c r="P69" i="31" s="1"/>
  <c r="O68" i="31"/>
  <c r="O69" i="31" s="1"/>
  <c r="N68" i="31"/>
  <c r="N69" i="31" s="1"/>
  <c r="M68" i="31"/>
  <c r="M69" i="31" s="1"/>
  <c r="L68" i="31"/>
  <c r="L69" i="31" s="1"/>
  <c r="K68" i="31"/>
  <c r="K69" i="31" s="1"/>
  <c r="D56" i="31"/>
  <c r="D57" i="31" s="1"/>
  <c r="C56" i="31"/>
  <c r="C57" i="31" s="1"/>
  <c r="P45" i="31"/>
  <c r="N31" i="31"/>
  <c r="L45" i="31"/>
  <c r="S20" i="31"/>
  <c r="S21" i="31" s="1"/>
  <c r="S22" i="31" s="1"/>
  <c r="S17" i="31"/>
  <c r="S18" i="31"/>
  <c r="W24" i="31"/>
  <c r="T14" i="31"/>
  <c r="V13" i="15" l="1"/>
  <c r="V19" i="15" s="1"/>
  <c r="V20" i="15" s="1"/>
  <c r="U13" i="15"/>
  <c r="T13" i="15"/>
  <c r="S13" i="15"/>
  <c r="R13" i="15"/>
  <c r="Q13" i="15"/>
  <c r="Q19" i="15" s="1"/>
  <c r="Q20" i="15" s="1"/>
  <c r="T19" i="15"/>
  <c r="T20" i="15" s="1"/>
  <c r="U19" i="15"/>
  <c r="U20" i="15" s="1"/>
  <c r="R19" i="15"/>
  <c r="R20" i="15" s="1"/>
  <c r="S19" i="15"/>
  <c r="S20" i="15" s="1"/>
  <c r="V3" i="15"/>
  <c r="U3" i="15"/>
  <c r="T3" i="15"/>
  <c r="T9" i="15" s="1"/>
  <c r="T10" i="15" s="1"/>
  <c r="S3" i="15"/>
  <c r="S9" i="15" s="1"/>
  <c r="S10" i="15" s="1"/>
  <c r="R3" i="15"/>
  <c r="R9" i="15" s="1"/>
  <c r="R10" i="15" s="1"/>
  <c r="Q3" i="15"/>
  <c r="U9" i="15"/>
  <c r="U10" i="15" s="1"/>
  <c r="Q9" i="15"/>
  <c r="Q10" i="15" s="1"/>
  <c r="V9" i="15"/>
  <c r="V10" i="15" s="1"/>
  <c r="I133" i="29"/>
  <c r="G130" i="29"/>
  <c r="I104" i="29"/>
  <c r="H104" i="29"/>
  <c r="G104" i="29"/>
  <c r="E1" i="30" l="1"/>
  <c r="F1" i="30" s="1"/>
  <c r="G1" i="30" s="1"/>
  <c r="H1" i="30" s="1"/>
  <c r="I1" i="30" s="1"/>
  <c r="J1" i="30" s="1"/>
  <c r="K1" i="30" s="1"/>
  <c r="L1" i="30" s="1"/>
  <c r="M1" i="30" s="1"/>
  <c r="N1" i="30" s="1"/>
  <c r="O1" i="30" s="1"/>
  <c r="P1" i="30" s="1"/>
  <c r="Q1" i="30" s="1"/>
  <c r="R1" i="30" s="1"/>
  <c r="S1" i="30" s="1"/>
  <c r="T1" i="30" s="1"/>
  <c r="U1" i="30" s="1"/>
  <c r="V1" i="30" s="1"/>
  <c r="W1" i="30" s="1"/>
  <c r="X1" i="30" s="1"/>
  <c r="Y1" i="30" s="1"/>
  <c r="Z1" i="30" s="1"/>
  <c r="AA1" i="30" s="1"/>
  <c r="AB1" i="30" s="1"/>
  <c r="AC1" i="30" s="1"/>
  <c r="AD1" i="30" s="1"/>
  <c r="AE1" i="30" s="1"/>
  <c r="AF1" i="30" s="1"/>
  <c r="AG1" i="30" s="1"/>
  <c r="AH1" i="30" s="1"/>
  <c r="AI1" i="30" s="1"/>
  <c r="AJ1" i="30" s="1"/>
  <c r="AK1" i="30" s="1"/>
  <c r="AL1" i="30" s="1"/>
  <c r="AM1" i="30" s="1"/>
  <c r="AN1" i="30" s="1"/>
  <c r="AO1" i="30" s="1"/>
  <c r="AP1" i="30" s="1"/>
  <c r="D1" i="30"/>
  <c r="G300" i="29"/>
  <c r="E249" i="29"/>
  <c r="H249" i="29"/>
  <c r="G249" i="29"/>
  <c r="F249" i="29"/>
  <c r="D249" i="29"/>
  <c r="H229" i="29"/>
  <c r="G229" i="29"/>
  <c r="F229" i="29"/>
  <c r="E229" i="29"/>
  <c r="D228" i="29"/>
  <c r="D227" i="29"/>
  <c r="D226" i="29"/>
  <c r="D225" i="29"/>
  <c r="D224" i="29"/>
  <c r="D229" i="29" s="1"/>
  <c r="D223" i="29"/>
  <c r="F300" i="29"/>
  <c r="E300" i="29"/>
  <c r="D300" i="29"/>
  <c r="C300" i="29"/>
  <c r="B300" i="29"/>
  <c r="G290" i="29" l="1"/>
  <c r="F290" i="29"/>
  <c r="E290" i="29"/>
  <c r="D290" i="29"/>
  <c r="C290" i="29"/>
  <c r="B290" i="29"/>
  <c r="C229" i="29" l="1"/>
  <c r="L180" i="29" l="1"/>
  <c r="J168" i="29"/>
  <c r="J180" i="29" s="1"/>
  <c r="F169" i="29"/>
  <c r="J157" i="29"/>
  <c r="H178" i="29" l="1"/>
  <c r="H177" i="29"/>
  <c r="G182" i="29"/>
  <c r="G183" i="29" s="1"/>
  <c r="G178" i="29"/>
  <c r="G179" i="29" s="1"/>
  <c r="F175" i="29"/>
  <c r="F177" i="29" s="1"/>
  <c r="I157" i="29" l="1"/>
  <c r="H165" i="29"/>
  <c r="G165" i="29"/>
  <c r="F165" i="29"/>
  <c r="H157" i="29"/>
  <c r="G157" i="29"/>
  <c r="F157" i="29"/>
  <c r="D165" i="29"/>
  <c r="D157" i="29"/>
  <c r="C165" i="29"/>
  <c r="C157" i="29"/>
  <c r="B165" i="29"/>
  <c r="C94" i="29"/>
  <c r="C95" i="29"/>
  <c r="B144" i="29" l="1"/>
  <c r="I143" i="29"/>
  <c r="B157" i="29"/>
  <c r="K121" i="29"/>
  <c r="I121" i="29"/>
  <c r="J121" i="29"/>
  <c r="H121" i="29"/>
  <c r="E138" i="29"/>
  <c r="L4" i="29" l="1"/>
  <c r="K5" i="29" s="1"/>
  <c r="M140" i="22"/>
  <c r="N114" i="23"/>
  <c r="N113" i="23"/>
  <c r="N105" i="23"/>
  <c r="N106" i="23" s="1"/>
  <c r="L5" i="29" l="1"/>
  <c r="L6" i="29" s="1"/>
  <c r="L7" i="29" s="1"/>
  <c r="L8" i="29" s="1"/>
  <c r="L9" i="29" s="1"/>
  <c r="L10" i="29" s="1"/>
  <c r="L11" i="29" s="1"/>
  <c r="L12" i="29" s="1"/>
  <c r="L13" i="29" s="1"/>
  <c r="L14" i="29" s="1"/>
  <c r="L15" i="29" s="1"/>
  <c r="L16" i="29" s="1"/>
  <c r="L17" i="29" s="1"/>
  <c r="L18" i="29" s="1"/>
  <c r="L19" i="29" s="1"/>
  <c r="L20" i="29" s="1"/>
  <c r="L21" i="29" s="1"/>
  <c r="L22" i="29" s="1"/>
  <c r="L23" i="29" s="1"/>
  <c r="L24" i="29" s="1"/>
  <c r="L25" i="29" s="1"/>
  <c r="L26" i="29" s="1"/>
  <c r="L27" i="29" s="1"/>
  <c r="L28" i="29" s="1"/>
  <c r="L29" i="29" s="1"/>
  <c r="L30" i="29" s="1"/>
  <c r="L31" i="29" s="1"/>
  <c r="L32" i="29" s="1"/>
  <c r="L27" i="28"/>
  <c r="F16" i="28"/>
  <c r="H18" i="28"/>
  <c r="H17" i="28"/>
  <c r="K6" i="29" l="1"/>
  <c r="K7" i="29" s="1"/>
  <c r="K8" i="29" s="1"/>
  <c r="K9" i="29" s="1"/>
  <c r="K10" i="29" s="1"/>
  <c r="K11" i="29" s="1"/>
  <c r="K12" i="29" s="1"/>
  <c r="K13" i="29" s="1"/>
  <c r="K14" i="29" s="1"/>
  <c r="K15" i="29" s="1"/>
  <c r="K16" i="29" s="1"/>
  <c r="K17" i="29" s="1"/>
  <c r="K18" i="29" s="1"/>
  <c r="K19" i="29" s="1"/>
  <c r="K20" i="29" s="1"/>
  <c r="K21" i="29" s="1"/>
  <c r="K22" i="29" s="1"/>
  <c r="K23" i="29" s="1"/>
  <c r="K24" i="29" s="1"/>
  <c r="K25" i="29" s="1"/>
  <c r="K26" i="29" s="1"/>
  <c r="K27" i="29" s="1"/>
  <c r="K28" i="29" s="1"/>
  <c r="K29" i="29" s="1"/>
  <c r="K30" i="29" s="1"/>
  <c r="K31" i="29" s="1"/>
  <c r="K32" i="29" s="1"/>
  <c r="I174" i="27"/>
  <c r="I175" i="27" s="1"/>
  <c r="L179" i="27"/>
  <c r="L180" i="27" s="1"/>
  <c r="L182" i="27" s="1"/>
  <c r="L183" i="27" s="1"/>
  <c r="L184" i="27" s="1"/>
  <c r="C182" i="27"/>
  <c r="C181" i="27"/>
  <c r="D185" i="27"/>
  <c r="D184" i="27"/>
  <c r="H188" i="27"/>
  <c r="E179" i="27"/>
  <c r="E180" i="27" s="1"/>
  <c r="E182" i="27" s="1"/>
  <c r="E183" i="27" s="1"/>
  <c r="E184" i="27" s="1"/>
  <c r="E185" i="27" s="1"/>
  <c r="L169" i="27"/>
  <c r="L166" i="27" l="1"/>
  <c r="L165" i="27"/>
  <c r="N165" i="27"/>
  <c r="O169" i="27"/>
  <c r="O168" i="27"/>
  <c r="I188" i="27"/>
  <c r="J169" i="27"/>
  <c r="D149" i="27"/>
  <c r="D148" i="27"/>
  <c r="C148" i="27"/>
  <c r="P171" i="23"/>
  <c r="O171" i="23"/>
  <c r="Q172" i="23"/>
  <c r="P172" i="23"/>
  <c r="O172" i="23"/>
  <c r="O168" i="23"/>
  <c r="M174" i="23"/>
  <c r="L175" i="23"/>
  <c r="L174" i="23"/>
  <c r="F161" i="23"/>
  <c r="K157" i="23" l="1"/>
  <c r="H147" i="23"/>
  <c r="H157" i="23" s="1"/>
  <c r="N137" i="23"/>
  <c r="L137" i="23"/>
  <c r="F132" i="23"/>
  <c r="F131" i="23"/>
  <c r="B132" i="23"/>
  <c r="B131" i="23"/>
  <c r="G130" i="23"/>
  <c r="G132" i="23" s="1"/>
  <c r="F130" i="23"/>
  <c r="E130" i="23"/>
  <c r="E132" i="23" s="1"/>
  <c r="D130" i="23"/>
  <c r="D131" i="23" s="1"/>
  <c r="C130" i="23"/>
  <c r="C132" i="23" s="1"/>
  <c r="B130" i="23"/>
  <c r="J128" i="23"/>
  <c r="J137" i="23" s="1"/>
  <c r="I137" i="23"/>
  <c r="G83" i="23"/>
  <c r="H36" i="18"/>
  <c r="C131" i="23" l="1"/>
  <c r="E131" i="23"/>
  <c r="G131" i="23"/>
  <c r="D132" i="23"/>
  <c r="O25" i="26"/>
  <c r="O28" i="26" s="1"/>
  <c r="J46" i="21"/>
  <c r="J45" i="21"/>
  <c r="D5" i="22" l="1"/>
  <c r="R11" i="23"/>
  <c r="R8" i="23"/>
  <c r="R10" i="23" s="1"/>
  <c r="C85" i="26"/>
  <c r="D85" i="26"/>
  <c r="F187" i="22"/>
  <c r="F186" i="22"/>
  <c r="N165" i="22" l="1"/>
  <c r="N164" i="22"/>
  <c r="L155" i="22"/>
  <c r="L164" i="22" s="1"/>
  <c r="Q87" i="22" l="1"/>
  <c r="Q86" i="22"/>
  <c r="Q82" i="22"/>
  <c r="Q83" i="22"/>
  <c r="J129" i="27"/>
  <c r="J130" i="27" s="1"/>
  <c r="J128" i="27"/>
  <c r="Q147" i="27"/>
  <c r="Q148" i="27" s="1"/>
  <c r="P146" i="27"/>
  <c r="P149" i="27" s="1"/>
  <c r="I137" i="27"/>
  <c r="N145" i="27"/>
  <c r="L145" i="27"/>
  <c r="J145" i="27"/>
  <c r="H145" i="27"/>
  <c r="F145" i="27"/>
  <c r="D145" i="27"/>
  <c r="O80" i="25"/>
  <c r="C72" i="25" l="1"/>
  <c r="C71" i="25"/>
  <c r="M80" i="25"/>
  <c r="L80" i="25"/>
  <c r="K80" i="25"/>
  <c r="H72" i="25"/>
  <c r="H71" i="25"/>
  <c r="H70" i="25"/>
  <c r="H116" i="27"/>
  <c r="G116" i="27"/>
  <c r="K20" i="27" l="1"/>
  <c r="K19" i="27"/>
  <c r="R36" i="27"/>
  <c r="P36" i="27"/>
  <c r="J99" i="27"/>
  <c r="C88" i="27"/>
  <c r="G97" i="27"/>
  <c r="G96" i="27"/>
  <c r="I86" i="27" l="1"/>
  <c r="J85" i="27"/>
  <c r="F83" i="27"/>
  <c r="E83" i="27"/>
  <c r="D85" i="27"/>
  <c r="P89" i="27"/>
  <c r="P91" i="27" s="1"/>
  <c r="J77" i="27"/>
  <c r="I73" i="27"/>
  <c r="I71" i="27"/>
  <c r="H68" i="27"/>
  <c r="E65" i="27" l="1"/>
  <c r="F80" i="27"/>
  <c r="E80" i="27"/>
  <c r="D80" i="27"/>
  <c r="C80" i="27"/>
  <c r="B65" i="11"/>
  <c r="B56" i="25"/>
  <c r="P67" i="27" l="1"/>
  <c r="M67" i="27"/>
  <c r="F19" i="27"/>
  <c r="D63" i="27" l="1"/>
  <c r="B137" i="22" l="1"/>
  <c r="B138" i="22" s="1"/>
  <c r="C131" i="22"/>
  <c r="C132" i="22" s="1"/>
  <c r="F136" i="22"/>
  <c r="F137" i="22" s="1"/>
  <c r="F138" i="22" s="1"/>
  <c r="E136" i="22"/>
  <c r="E137" i="22" s="1"/>
  <c r="E138" i="22" s="1"/>
  <c r="D136" i="22"/>
  <c r="D137" i="22" s="1"/>
  <c r="D138" i="22" s="1"/>
  <c r="C138" i="22"/>
  <c r="C137" i="22"/>
  <c r="C136" i="22"/>
  <c r="K13" i="27"/>
  <c r="K12" i="27"/>
  <c r="N61" i="27" l="1"/>
  <c r="N60" i="27"/>
  <c r="M58" i="27"/>
  <c r="P156" i="22"/>
  <c r="Q153" i="22"/>
  <c r="Q154" i="22" s="1"/>
  <c r="R156" i="22" s="1"/>
  <c r="P154" i="22"/>
  <c r="P149" i="22"/>
  <c r="P151" i="22"/>
  <c r="R153" i="22"/>
  <c r="R151" i="22"/>
  <c r="X141" i="22"/>
  <c r="U154" i="22"/>
  <c r="W154" i="22"/>
  <c r="V154" i="22"/>
  <c r="T154" i="22"/>
  <c r="G144" i="22"/>
  <c r="G145" i="22" s="1"/>
  <c r="G146" i="22" s="1"/>
  <c r="G147" i="22" s="1"/>
  <c r="N152" i="22"/>
  <c r="N153" i="22" s="1"/>
  <c r="N154" i="22" s="1"/>
  <c r="C27" i="27"/>
  <c r="H38" i="27"/>
  <c r="H39" i="27" s="1"/>
  <c r="H37" i="27"/>
  <c r="F37" i="27"/>
  <c r="F36" i="27"/>
  <c r="O19" i="27"/>
  <c r="J31" i="27"/>
  <c r="G30" i="27"/>
  <c r="G31" i="27"/>
  <c r="G32" i="27" s="1"/>
  <c r="H31" i="27"/>
  <c r="H32" i="27" s="1"/>
  <c r="F23" i="27"/>
  <c r="F21" i="27"/>
  <c r="F31" i="27"/>
  <c r="E23" i="27"/>
  <c r="E29" i="27"/>
  <c r="D22" i="27"/>
  <c r="D23" i="27" s="1"/>
  <c r="D24" i="27" s="1"/>
  <c r="D25" i="27" s="1"/>
  <c r="D26" i="27" s="1"/>
  <c r="D27" i="27" s="1"/>
  <c r="D19" i="27"/>
  <c r="D20" i="27" s="1"/>
  <c r="F15" i="27"/>
  <c r="D16" i="27"/>
  <c r="E13" i="27"/>
  <c r="C15" i="27"/>
  <c r="B15" i="27"/>
  <c r="C14" i="27"/>
  <c r="F14" i="27"/>
  <c r="Q18" i="27"/>
  <c r="Q16" i="27"/>
  <c r="Q15" i="27"/>
  <c r="E16" i="27"/>
  <c r="F18" i="27"/>
  <c r="D13" i="27"/>
  <c r="F16" i="27" l="1"/>
  <c r="D28" i="27"/>
  <c r="E27" i="27"/>
  <c r="E28" i="27" s="1"/>
  <c r="J174" i="22"/>
  <c r="K171" i="22"/>
  <c r="U190" i="22"/>
  <c r="U191" i="22" s="1"/>
  <c r="T194" i="22"/>
  <c r="P198" i="22"/>
  <c r="O198" i="22"/>
  <c r="O191" i="22"/>
  <c r="P191" i="22"/>
  <c r="M188" i="22"/>
  <c r="L188" i="22"/>
  <c r="U162" i="22"/>
  <c r="V162" i="22" s="1"/>
  <c r="N161" i="22"/>
  <c r="N162" i="22" s="1"/>
  <c r="U163" i="22"/>
  <c r="V168" i="22"/>
  <c r="V169" i="22" s="1"/>
  <c r="V170" i="22" s="1"/>
  <c r="W170" i="22" s="1"/>
  <c r="N169" i="22"/>
  <c r="S167" i="22"/>
  <c r="Q169" i="22"/>
  <c r="S169" i="22" s="1"/>
  <c r="S170" i="22" s="1"/>
  <c r="U172" i="22"/>
  <c r="I168" i="22"/>
  <c r="J168" i="22" s="1"/>
  <c r="K168" i="22" s="1"/>
  <c r="O176" i="22"/>
  <c r="O175" i="22"/>
  <c r="Q198" i="22" l="1"/>
  <c r="R198" i="22" s="1"/>
  <c r="R199" i="22" s="1"/>
  <c r="Q191" i="22"/>
  <c r="R191" i="22" s="1"/>
  <c r="R192" i="22" s="1"/>
  <c r="R184" i="22"/>
  <c r="P184" i="22"/>
  <c r="Q186" i="22"/>
  <c r="Q185" i="22"/>
  <c r="U179" i="22"/>
  <c r="U177" i="22"/>
  <c r="M147" i="22"/>
  <c r="N146" i="22"/>
  <c r="N147" i="22" s="1"/>
  <c r="L145" i="22"/>
  <c r="R169" i="22"/>
  <c r="R170" i="22" s="1"/>
  <c r="R171" i="22" s="1"/>
  <c r="O140" i="22"/>
  <c r="N140" i="22"/>
  <c r="Q170" i="22"/>
  <c r="Q171" i="22" s="1"/>
  <c r="P169" i="22"/>
  <c r="P170" i="22" s="1"/>
  <c r="P171" i="22" s="1"/>
  <c r="L175" i="22"/>
  <c r="L174" i="22"/>
  <c r="R173" i="22"/>
  <c r="R172" i="22"/>
  <c r="M170" i="22"/>
  <c r="L184" i="22"/>
  <c r="L183" i="22"/>
  <c r="O180" i="22"/>
  <c r="O179" i="22"/>
  <c r="M181" i="22"/>
  <c r="I180" i="22"/>
  <c r="H181" i="22"/>
  <c r="H180" i="22"/>
  <c r="J178" i="22"/>
  <c r="J179" i="22" s="1"/>
  <c r="J180" i="22" s="1"/>
  <c r="J177" i="22"/>
  <c r="E178" i="22"/>
  <c r="O146" i="22" l="1"/>
  <c r="P146" i="22" s="1"/>
  <c r="Q146" i="22" s="1"/>
  <c r="Q147" i="22" s="1"/>
  <c r="T169" i="22"/>
  <c r="T170" i="22" s="1"/>
  <c r="B158" i="22"/>
  <c r="C158" i="22"/>
  <c r="D158" i="22"/>
  <c r="E158" i="22"/>
  <c r="L132" i="22"/>
  <c r="L131" i="22"/>
  <c r="G136" i="22"/>
  <c r="G137" i="22" s="1"/>
  <c r="G135" i="22"/>
  <c r="G134" i="22"/>
  <c r="E131" i="22"/>
  <c r="E130" i="22"/>
  <c r="I128" i="22"/>
  <c r="H136" i="22" l="1"/>
  <c r="O147" i="22"/>
  <c r="P147" i="22"/>
  <c r="J127" i="22"/>
  <c r="D127" i="22" l="1"/>
  <c r="G108" i="22" l="1"/>
  <c r="G109" i="22" s="1"/>
  <c r="G107" i="22"/>
  <c r="G110" i="22" s="1"/>
  <c r="G111" i="22" s="1"/>
  <c r="G106" i="22"/>
  <c r="I121" i="22"/>
  <c r="I122" i="22" s="1"/>
  <c r="I114" i="22"/>
  <c r="D116" i="22"/>
  <c r="D117" i="22" s="1"/>
  <c r="C121" i="22"/>
  <c r="C122" i="22" s="1"/>
  <c r="C120" i="22"/>
  <c r="C119" i="22"/>
  <c r="C118" i="22"/>
  <c r="H118" i="22"/>
  <c r="H113" i="22"/>
  <c r="H112" i="22"/>
  <c r="I123" i="22" l="1"/>
  <c r="G103" i="22"/>
  <c r="H103" i="22" s="1"/>
  <c r="G100" i="22"/>
  <c r="H100" i="22" s="1"/>
  <c r="G102" i="22"/>
  <c r="H102" i="22" s="1"/>
  <c r="G101" i="22"/>
  <c r="H101" i="22" s="1"/>
  <c r="G104" i="22"/>
  <c r="H104" i="22" s="1"/>
  <c r="G98" i="22"/>
  <c r="S119" i="22"/>
  <c r="S120" i="22" s="1"/>
  <c r="R119" i="22"/>
  <c r="R120" i="22" s="1"/>
  <c r="Q119" i="22"/>
  <c r="Q120" i="22" s="1"/>
  <c r="M127" i="22"/>
  <c r="G122" i="22" l="1"/>
  <c r="G124" i="22" s="1"/>
  <c r="G120" i="22"/>
  <c r="E120" i="22"/>
  <c r="E122" i="22"/>
  <c r="E124" i="22" s="1"/>
  <c r="O114" i="22"/>
  <c r="O115" i="22" s="1"/>
  <c r="Q113" i="22" s="1"/>
  <c r="O113" i="22"/>
  <c r="K114" i="22"/>
  <c r="K113" i="22"/>
  <c r="K112" i="22"/>
  <c r="K111" i="22"/>
  <c r="M11" i="15"/>
  <c r="M9" i="15"/>
  <c r="M7" i="15"/>
  <c r="M5" i="15"/>
  <c r="I9" i="15"/>
  <c r="E112" i="22"/>
  <c r="E114" i="22" s="1"/>
  <c r="C112" i="22"/>
  <c r="C114" i="22" s="1"/>
  <c r="D112" i="22"/>
  <c r="D114" i="22" s="1"/>
  <c r="B112" i="22"/>
  <c r="B114" i="22" s="1"/>
  <c r="A112" i="22"/>
  <c r="A114" i="22" s="1"/>
  <c r="E3" i="22"/>
  <c r="E2" i="22"/>
  <c r="H3" i="22"/>
  <c r="J109" i="22"/>
  <c r="J108" i="22"/>
  <c r="Q104" i="22" l="1"/>
  <c r="Q103" i="22"/>
  <c r="Q102" i="22"/>
  <c r="N108" i="22"/>
  <c r="N107" i="22"/>
  <c r="N105" i="22"/>
  <c r="J105" i="22"/>
  <c r="I105" i="22"/>
  <c r="C99" i="22"/>
  <c r="C94" i="22"/>
  <c r="C93" i="22"/>
  <c r="C92" i="22"/>
  <c r="D95" i="22"/>
  <c r="D93" i="22"/>
  <c r="L100" i="22"/>
  <c r="E97" i="22"/>
  <c r="N100" i="22"/>
  <c r="N99" i="22"/>
  <c r="L99" i="22"/>
  <c r="J100" i="22"/>
  <c r="K100" i="22" s="1"/>
  <c r="J102" i="22"/>
  <c r="J101" i="22"/>
  <c r="K101" i="22" s="1"/>
  <c r="P90" i="22"/>
  <c r="I10" i="15"/>
  <c r="C95" i="22" l="1"/>
  <c r="C96" i="22" s="1"/>
  <c r="C97" i="22" s="1"/>
  <c r="K102" i="22"/>
  <c r="C9" i="15"/>
  <c r="C10" i="15" s="1"/>
  <c r="G87" i="22" l="1"/>
  <c r="H87" i="22" s="1"/>
  <c r="N84" i="22"/>
  <c r="M85" i="22"/>
  <c r="M84" i="22"/>
  <c r="D64" i="25"/>
  <c r="C59" i="25"/>
  <c r="C58" i="25"/>
  <c r="M59" i="25"/>
  <c r="J59" i="25"/>
  <c r="K43" i="25"/>
  <c r="J43" i="25"/>
  <c r="H43" i="25"/>
  <c r="I43" i="25"/>
  <c r="L41" i="25"/>
  <c r="L59" i="25"/>
  <c r="K59" i="25"/>
  <c r="I59" i="25"/>
  <c r="H59" i="25"/>
  <c r="A54" i="25"/>
  <c r="B54" i="25"/>
  <c r="D54" i="25"/>
  <c r="C54" i="25"/>
  <c r="AC169" i="9"/>
  <c r="AD169" i="9"/>
  <c r="AC170" i="9"/>
  <c r="AD170" i="9"/>
  <c r="AC171" i="9"/>
  <c r="AD171" i="9"/>
  <c r="AC172" i="9"/>
  <c r="AE172" i="9" s="1"/>
  <c r="AD172" i="9"/>
  <c r="AC173" i="9"/>
  <c r="AE173" i="9" s="1"/>
  <c r="AD173" i="9"/>
  <c r="AC176" i="9"/>
  <c r="AD176" i="9"/>
  <c r="AE176" i="9"/>
  <c r="AC177" i="9"/>
  <c r="AD177" i="9"/>
  <c r="AC178" i="9"/>
  <c r="AD178" i="9"/>
  <c r="AC179" i="9"/>
  <c r="AE179" i="9" s="1"/>
  <c r="AD179" i="9"/>
  <c r="AC180" i="9"/>
  <c r="AD180" i="9"/>
  <c r="AA162" i="9"/>
  <c r="AB162" i="9"/>
  <c r="AC162" i="9"/>
  <c r="AD162" i="9"/>
  <c r="W113" i="9"/>
  <c r="W114" i="9"/>
  <c r="V118" i="9"/>
  <c r="V119" i="9" s="1"/>
  <c r="W123" i="9"/>
  <c r="H89" i="22"/>
  <c r="H88" i="22"/>
  <c r="H86" i="22"/>
  <c r="I93" i="21"/>
  <c r="I92" i="21"/>
  <c r="G1" i="22"/>
  <c r="D86" i="21"/>
  <c r="M85" i="21"/>
  <c r="L85" i="21"/>
  <c r="J85" i="21"/>
  <c r="K85" i="21"/>
  <c r="H83" i="21"/>
  <c r="A83" i="21"/>
  <c r="G45" i="21"/>
  <c r="G46" i="21" s="1"/>
  <c r="G47" i="21" s="1"/>
  <c r="M44" i="22"/>
  <c r="N44" i="22" s="1"/>
  <c r="N47" i="22" s="1"/>
  <c r="B7" i="22"/>
  <c r="AE170" i="9" l="1"/>
  <c r="AE180" i="9"/>
  <c r="AE178" i="9"/>
  <c r="AE171" i="9"/>
  <c r="AE169" i="9"/>
  <c r="AE177" i="9"/>
  <c r="G90" i="22"/>
  <c r="H90" i="22" s="1"/>
  <c r="M47" i="22"/>
  <c r="H69" i="21"/>
  <c r="B83" i="21"/>
  <c r="C83" i="21"/>
  <c r="D83" i="21"/>
  <c r="E83" i="21"/>
  <c r="F83" i="21"/>
  <c r="F7" i="22"/>
  <c r="H30" i="25"/>
  <c r="E60" i="12"/>
  <c r="E59" i="12"/>
  <c r="E65" i="12"/>
  <c r="E69" i="21"/>
  <c r="M48" i="22" l="1"/>
  <c r="N51" i="22"/>
  <c r="N12" i="25"/>
  <c r="N11" i="25"/>
  <c r="B16" i="22"/>
  <c r="B17" i="22" s="1"/>
  <c r="B13" i="22"/>
  <c r="I18" i="22"/>
  <c r="I16" i="22"/>
  <c r="I17" i="22"/>
  <c r="G9" i="22"/>
  <c r="B58" i="12"/>
  <c r="B63" i="12"/>
  <c r="B64" i="12"/>
  <c r="E64" i="12"/>
  <c r="K54" i="12"/>
  <c r="B65" i="12"/>
  <c r="B66" i="12" s="1"/>
  <c r="E63" i="12"/>
  <c r="E62" i="12"/>
  <c r="B62" i="12"/>
  <c r="E61" i="12"/>
  <c r="B61" i="12"/>
  <c r="B60" i="12"/>
  <c r="B59" i="12"/>
  <c r="E58" i="12"/>
  <c r="E57" i="12"/>
  <c r="B57" i="12"/>
  <c r="E56" i="12"/>
  <c r="B56" i="12"/>
  <c r="E55" i="12"/>
  <c r="B55" i="12"/>
  <c r="T55" i="25"/>
  <c r="S55" i="25"/>
  <c r="R55" i="25"/>
  <c r="Y41" i="25"/>
  <c r="AC25" i="25"/>
  <c r="AA28" i="25"/>
  <c r="AA27" i="25"/>
  <c r="AA26" i="25"/>
  <c r="AA25" i="25"/>
  <c r="X37" i="25"/>
  <c r="W37" i="25"/>
  <c r="V37" i="25"/>
  <c r="U37" i="25"/>
  <c r="T37" i="25"/>
  <c r="S37" i="25"/>
  <c r="I30" i="22" l="1"/>
  <c r="E36" i="18"/>
  <c r="C36" i="18"/>
  <c r="G36" i="18"/>
  <c r="F36" i="18"/>
  <c r="K36" i="18"/>
  <c r="I36" i="18"/>
  <c r="AQ449" i="7" l="1"/>
  <c r="AO436" i="7"/>
  <c r="AO435" i="7"/>
  <c r="AM430" i="7"/>
  <c r="AQ435" i="7" s="1"/>
  <c r="AM429" i="7"/>
  <c r="AO429" i="7" s="1"/>
  <c r="AH424" i="7"/>
  <c r="AH426" i="7"/>
  <c r="AH425" i="7"/>
  <c r="AE421" i="7"/>
  <c r="AO430" i="7" l="1"/>
  <c r="AO433" i="7" s="1"/>
  <c r="AO434" i="7" s="1"/>
  <c r="L37" i="22"/>
  <c r="B2" i="1" l="1"/>
  <c r="H13" i="22"/>
  <c r="H12" i="22"/>
  <c r="H11" i="22"/>
  <c r="L9" i="10" l="1"/>
  <c r="L8" i="10"/>
  <c r="L7" i="10"/>
  <c r="L6" i="10"/>
  <c r="L5" i="10"/>
  <c r="L4" i="10"/>
  <c r="L3" i="10"/>
  <c r="L2" i="10"/>
  <c r="K77" i="11"/>
  <c r="J77" i="11"/>
  <c r="R36" i="18"/>
  <c r="Q3" i="18"/>
  <c r="G166" i="11" l="1"/>
  <c r="R410" i="7"/>
  <c r="Q410" i="7"/>
  <c r="Q411" i="7" s="1"/>
  <c r="AD424" i="7" l="1"/>
  <c r="D78" i="19" l="1"/>
  <c r="D75" i="19"/>
  <c r="N146" i="13"/>
  <c r="K149" i="13"/>
  <c r="J145" i="13"/>
  <c r="J144" i="13"/>
  <c r="C11" i="22"/>
  <c r="C10" i="22"/>
  <c r="R11" i="22" l="1"/>
  <c r="R12" i="22" s="1"/>
  <c r="R13" i="22" s="1"/>
  <c r="N14" i="22"/>
  <c r="Q8" i="22"/>
  <c r="Q7" i="22"/>
  <c r="P8" i="22"/>
  <c r="P9" i="22" s="1"/>
  <c r="P7" i="22"/>
  <c r="O12" i="22"/>
  <c r="R24" i="22" l="1"/>
  <c r="Q28" i="22"/>
  <c r="N15" i="18" l="1"/>
  <c r="L18" i="22"/>
  <c r="L17" i="22"/>
  <c r="L16" i="22"/>
  <c r="L15" i="22"/>
  <c r="L14" i="22"/>
  <c r="L13" i="22"/>
  <c r="L12" i="22"/>
  <c r="L11" i="22"/>
  <c r="L10" i="22"/>
  <c r="L9" i="22"/>
  <c r="L8" i="22"/>
  <c r="L7" i="22"/>
  <c r="L6" i="22"/>
  <c r="L5" i="22"/>
  <c r="L4" i="22"/>
  <c r="L3" i="22"/>
  <c r="L2" i="22"/>
  <c r="L1" i="22"/>
  <c r="H6" i="22" l="1"/>
  <c r="G6" i="22"/>
  <c r="D12" i="22"/>
  <c r="D6" i="22"/>
  <c r="E12" i="22" s="1"/>
  <c r="J11" i="21"/>
  <c r="J10" i="21"/>
  <c r="G15" i="21"/>
  <c r="I83" i="19"/>
  <c r="F76" i="19"/>
  <c r="F75" i="19"/>
  <c r="D68" i="19"/>
  <c r="G7" i="22" l="1"/>
  <c r="D13" i="22"/>
  <c r="C7" i="22"/>
  <c r="T36" i="18"/>
  <c r="S36" i="18"/>
  <c r="Q36" i="18"/>
  <c r="P36" i="18"/>
  <c r="O36" i="18"/>
  <c r="N36" i="18"/>
  <c r="M36" i="18"/>
  <c r="L36" i="18"/>
  <c r="H27" i="19" l="1"/>
  <c r="H28" i="19"/>
  <c r="H32" i="19"/>
  <c r="AB540" i="7"/>
  <c r="AN497" i="7"/>
  <c r="AO497" i="7" s="1"/>
  <c r="AJ497" i="7"/>
  <c r="AK497" i="7" s="1"/>
  <c r="AD536" i="7"/>
  <c r="AD535" i="7"/>
  <c r="AD534" i="7"/>
  <c r="AD533" i="7"/>
  <c r="AD532" i="7"/>
  <c r="AD531" i="7"/>
  <c r="AD530" i="7"/>
  <c r="AD529" i="7"/>
  <c r="AD528" i="7"/>
  <c r="AD527" i="7"/>
  <c r="AD526" i="7"/>
  <c r="AD525" i="7"/>
  <c r="AE525" i="7" s="1"/>
  <c r="AF534" i="7"/>
  <c r="AF533" i="7"/>
  <c r="AF532" i="7"/>
  <c r="AF531" i="7"/>
  <c r="AF530" i="7"/>
  <c r="AF529" i="7"/>
  <c r="AF528" i="7"/>
  <c r="AF527" i="7"/>
  <c r="AF526" i="7"/>
  <c r="AF525" i="7"/>
  <c r="AD522" i="7"/>
  <c r="AD521" i="7"/>
  <c r="AD520" i="7"/>
  <c r="AD519" i="7"/>
  <c r="AD518" i="7"/>
  <c r="AD517" i="7"/>
  <c r="AD516" i="7"/>
  <c r="AD515" i="7"/>
  <c r="AD514" i="7"/>
  <c r="AD513" i="7"/>
  <c r="AD512" i="7"/>
  <c r="AD511" i="7"/>
  <c r="AE511" i="7" s="1"/>
  <c r="AF520" i="7"/>
  <c r="AF519" i="7"/>
  <c r="AF518" i="7"/>
  <c r="AF517" i="7"/>
  <c r="AF516" i="7"/>
  <c r="AF515" i="7"/>
  <c r="AF514" i="7"/>
  <c r="AF513" i="7"/>
  <c r="AF512" i="7"/>
  <c r="AF511" i="7"/>
  <c r="AF506" i="7"/>
  <c r="AF505" i="7"/>
  <c r="AF504" i="7"/>
  <c r="AF503" i="7"/>
  <c r="AF502" i="7"/>
  <c r="AF501" i="7"/>
  <c r="AF500" i="7"/>
  <c r="AF499" i="7"/>
  <c r="AF498" i="7"/>
  <c r="AF497" i="7"/>
  <c r="AD507" i="7"/>
  <c r="AD506" i="7"/>
  <c r="AD505" i="7"/>
  <c r="AD504" i="7"/>
  <c r="AD503" i="7"/>
  <c r="AD502" i="7"/>
  <c r="AD501" i="7"/>
  <c r="AD500" i="7"/>
  <c r="AD499" i="7"/>
  <c r="AD498" i="7"/>
  <c r="AE498" i="7" s="1"/>
  <c r="AG498" i="7" s="1"/>
  <c r="AD497" i="7"/>
  <c r="AE497" i="7" s="1"/>
  <c r="AG511" i="7" l="1"/>
  <c r="AJ525" i="7"/>
  <c r="AK525" i="7" s="1"/>
  <c r="AJ511" i="7"/>
  <c r="AK511" i="7" s="1"/>
  <c r="AG525" i="7"/>
  <c r="AN516" i="7"/>
  <c r="AJ498" i="7"/>
  <c r="AN498" i="7"/>
  <c r="AN499" i="7"/>
  <c r="AN518" i="7" s="1"/>
  <c r="AN536" i="7" s="1"/>
  <c r="AE526" i="7"/>
  <c r="AG526" i="7" s="1"/>
  <c r="AE512" i="7"/>
  <c r="AG512" i="7" s="1"/>
  <c r="AG497" i="7"/>
  <c r="AE492" i="7"/>
  <c r="AF491" i="7"/>
  <c r="AF492" i="7" s="1"/>
  <c r="D15" i="18"/>
  <c r="D36" i="18" s="1"/>
  <c r="J36" i="18"/>
  <c r="AO498" i="7" l="1"/>
  <c r="AN517" i="7"/>
  <c r="AJ512" i="7"/>
  <c r="AK512" i="7" s="1"/>
  <c r="AJ526" i="7"/>
  <c r="AK498" i="7"/>
  <c r="AJ499" i="7"/>
  <c r="AK526" i="7"/>
  <c r="AN534" i="7"/>
  <c r="AO534" i="7" s="1"/>
  <c r="AO516" i="7"/>
  <c r="AO499" i="7"/>
  <c r="AN500" i="7"/>
  <c r="AN519" i="7" s="1"/>
  <c r="AN537" i="7" s="1"/>
  <c r="AE527" i="7"/>
  <c r="AE513" i="7"/>
  <c r="AG513" i="7" s="1"/>
  <c r="AE499" i="7"/>
  <c r="AE493" i="7"/>
  <c r="R419" i="7"/>
  <c r="Q421" i="7"/>
  <c r="W519" i="7"/>
  <c r="X519" i="7"/>
  <c r="AC492" i="7"/>
  <c r="AB492" i="7"/>
  <c r="Z492" i="7"/>
  <c r="Y492" i="7"/>
  <c r="AE484" i="7"/>
  <c r="AE483" i="7"/>
  <c r="AD482" i="7"/>
  <c r="AC483" i="7"/>
  <c r="AD483" i="7" s="1"/>
  <c r="AC482" i="7"/>
  <c r="AB423" i="7"/>
  <c r="AK527" i="7" l="1"/>
  <c r="AJ513" i="7"/>
  <c r="AK513" i="7" s="1"/>
  <c r="AJ527" i="7"/>
  <c r="AK499" i="7"/>
  <c r="AJ500" i="7"/>
  <c r="AO517" i="7"/>
  <c r="AO518" i="7" s="1"/>
  <c r="AO519" i="7" s="1"/>
  <c r="AO520" i="7" s="1"/>
  <c r="AN535" i="7"/>
  <c r="AO535" i="7" s="1"/>
  <c r="AO536" i="7" s="1"/>
  <c r="AO537" i="7" s="1"/>
  <c r="AO538" i="7" s="1"/>
  <c r="AN501" i="7"/>
  <c r="AN520" i="7" s="1"/>
  <c r="AN538" i="7" s="1"/>
  <c r="AO500" i="7"/>
  <c r="AG527" i="7"/>
  <c r="AE528" i="7"/>
  <c r="AE514" i="7"/>
  <c r="AE515" i="7" s="1"/>
  <c r="AE516" i="7" s="1"/>
  <c r="AG499" i="7"/>
  <c r="AE500" i="7"/>
  <c r="AB493" i="7"/>
  <c r="Y493" i="7"/>
  <c r="O148" i="11"/>
  <c r="M149" i="11"/>
  <c r="K135" i="11"/>
  <c r="J138" i="11"/>
  <c r="J139" i="11" s="1"/>
  <c r="H132" i="11"/>
  <c r="H133" i="11" s="1"/>
  <c r="H135" i="11" s="1"/>
  <c r="R141" i="11"/>
  <c r="R142" i="11" s="1"/>
  <c r="R143" i="11" s="1"/>
  <c r="Q137" i="11"/>
  <c r="Q138" i="11" s="1"/>
  <c r="Q139" i="11" s="1"/>
  <c r="D144" i="11"/>
  <c r="D143" i="11"/>
  <c r="C144" i="11"/>
  <c r="E144" i="11" s="1"/>
  <c r="C143" i="11"/>
  <c r="J143" i="11"/>
  <c r="K143" i="11" s="1"/>
  <c r="I143" i="11"/>
  <c r="I142" i="11"/>
  <c r="J142" i="11" s="1"/>
  <c r="K142" i="11" s="1"/>
  <c r="E143" i="11"/>
  <c r="E134" i="11"/>
  <c r="E135" i="11" s="1"/>
  <c r="G135" i="11"/>
  <c r="R137" i="11" l="1"/>
  <c r="R138" i="11" s="1"/>
  <c r="R139" i="11" s="1"/>
  <c r="AJ528" i="7"/>
  <c r="AK500" i="7"/>
  <c r="AJ501" i="7"/>
  <c r="AJ514" i="7"/>
  <c r="AK514" i="7" s="1"/>
  <c r="AK528" i="7"/>
  <c r="AO501" i="7"/>
  <c r="AN502" i="7"/>
  <c r="AN521" i="7" s="1"/>
  <c r="AN539" i="7" s="1"/>
  <c r="AO539" i="7" s="1"/>
  <c r="AG528" i="7"/>
  <c r="AE529" i="7"/>
  <c r="AG514" i="7"/>
  <c r="AG515" i="7"/>
  <c r="AG516" i="7"/>
  <c r="AE517" i="7"/>
  <c r="AG500" i="7"/>
  <c r="AE501" i="7"/>
  <c r="O133" i="11"/>
  <c r="O132" i="11"/>
  <c r="N132" i="11"/>
  <c r="N131" i="11"/>
  <c r="N140" i="11"/>
  <c r="M140" i="11"/>
  <c r="I135" i="11"/>
  <c r="J135" i="11"/>
  <c r="AK515" i="7" l="1"/>
  <c r="AK501" i="7"/>
  <c r="AJ502" i="7"/>
  <c r="AJ515" i="7"/>
  <c r="AJ529" i="7"/>
  <c r="AK529" i="7" s="1"/>
  <c r="AO521" i="7"/>
  <c r="AO502" i="7"/>
  <c r="AN503" i="7"/>
  <c r="AN522" i="7" s="1"/>
  <c r="AN540" i="7" s="1"/>
  <c r="AO540" i="7" s="1"/>
  <c r="AG529" i="7"/>
  <c r="AE530" i="7"/>
  <c r="AG517" i="7"/>
  <c r="AE518" i="7"/>
  <c r="AG501" i="7"/>
  <c r="AE502" i="7"/>
  <c r="N112" i="11"/>
  <c r="S114" i="11"/>
  <c r="R103" i="11"/>
  <c r="P115" i="11"/>
  <c r="R47" i="11"/>
  <c r="R48" i="11" s="1"/>
  <c r="T46" i="11"/>
  <c r="T47" i="11" s="1"/>
  <c r="T48" i="11" s="1"/>
  <c r="S46" i="11"/>
  <c r="S47" i="11" s="1"/>
  <c r="S48" i="11" s="1"/>
  <c r="R46" i="11"/>
  <c r="Q46" i="11"/>
  <c r="Q47" i="11" s="1"/>
  <c r="Q48" i="11" s="1"/>
  <c r="P46" i="11"/>
  <c r="P47" i="11" s="1"/>
  <c r="P48" i="11" s="1"/>
  <c r="D6" i="16"/>
  <c r="J16" i="16" s="1"/>
  <c r="F17" i="16"/>
  <c r="H17" i="16" s="1"/>
  <c r="I17" i="16"/>
  <c r="I16" i="16"/>
  <c r="K16" i="16" s="1"/>
  <c r="H16" i="16"/>
  <c r="F15" i="16"/>
  <c r="H15" i="16" s="1"/>
  <c r="E15" i="16"/>
  <c r="I6" i="16"/>
  <c r="G11" i="16"/>
  <c r="H6" i="16"/>
  <c r="F7" i="16"/>
  <c r="H7" i="16" s="1"/>
  <c r="E7" i="16"/>
  <c r="D7" i="16"/>
  <c r="J17" i="16" s="1"/>
  <c r="F5" i="16"/>
  <c r="H5" i="16" s="1"/>
  <c r="E5" i="16"/>
  <c r="D5" i="16"/>
  <c r="J15" i="16" s="1"/>
  <c r="M15" i="16" s="1"/>
  <c r="L15" i="16" l="1"/>
  <c r="K17" i="16"/>
  <c r="L17" i="16"/>
  <c r="M17" i="16"/>
  <c r="L16" i="16"/>
  <c r="M16" i="16"/>
  <c r="F11" i="16"/>
  <c r="I7" i="16"/>
  <c r="R104" i="11"/>
  <c r="R105" i="11" s="1"/>
  <c r="R106" i="11" s="1"/>
  <c r="AJ516" i="7"/>
  <c r="AJ530" i="7"/>
  <c r="AK530" i="7" s="1"/>
  <c r="AK502" i="7"/>
  <c r="AJ503" i="7"/>
  <c r="D11" i="16"/>
  <c r="I11" i="16" s="1"/>
  <c r="I5" i="16"/>
  <c r="I15" i="16"/>
  <c r="K15" i="16" s="1"/>
  <c r="AO522" i="7"/>
  <c r="AK516" i="7"/>
  <c r="AO503" i="7"/>
  <c r="AN504" i="7"/>
  <c r="AN523" i="7" s="1"/>
  <c r="AN541" i="7" s="1"/>
  <c r="AO541" i="7" s="1"/>
  <c r="AG530" i="7"/>
  <c r="AE531" i="7"/>
  <c r="AG518" i="7"/>
  <c r="AE519" i="7"/>
  <c r="AG502" i="7"/>
  <c r="AE503" i="7"/>
  <c r="J9" i="9"/>
  <c r="J8" i="9"/>
  <c r="V77" i="11"/>
  <c r="S106" i="11" l="1"/>
  <c r="S107" i="11" s="1"/>
  <c r="S108" i="11" s="1"/>
  <c r="S115" i="11"/>
  <c r="S116" i="11" s="1"/>
  <c r="AO523" i="7"/>
  <c r="AJ517" i="7"/>
  <c r="AJ531" i="7"/>
  <c r="AK531" i="7" s="1"/>
  <c r="AK503" i="7"/>
  <c r="AJ504" i="7"/>
  <c r="AK517" i="7"/>
  <c r="AN505" i="7"/>
  <c r="AN524" i="7" s="1"/>
  <c r="AN542" i="7" s="1"/>
  <c r="AO542" i="7" s="1"/>
  <c r="AO543" i="7" s="1"/>
  <c r="AO544" i="7" s="1"/>
  <c r="AO545" i="7" s="1"/>
  <c r="AO546" i="7" s="1"/>
  <c r="AO547" i="7" s="1"/>
  <c r="AO548" i="7" s="1"/>
  <c r="AO549" i="7" s="1"/>
  <c r="AO504" i="7"/>
  <c r="AG531" i="7"/>
  <c r="AE532" i="7"/>
  <c r="AG519" i="7"/>
  <c r="AE520" i="7"/>
  <c r="AG503" i="7"/>
  <c r="AE504" i="7"/>
  <c r="L118" i="11"/>
  <c r="M119" i="11" s="1"/>
  <c r="H118" i="11"/>
  <c r="J120" i="11" s="1"/>
  <c r="D118" i="11"/>
  <c r="E119" i="11" s="1"/>
  <c r="U77" i="11"/>
  <c r="Y56" i="11"/>
  <c r="Y55" i="11"/>
  <c r="V55" i="11"/>
  <c r="Y63" i="11"/>
  <c r="S453" i="7"/>
  <c r="R453" i="7"/>
  <c r="S443" i="7"/>
  <c r="R443" i="7"/>
  <c r="W61" i="11"/>
  <c r="W60" i="11"/>
  <c r="V60" i="11"/>
  <c r="V57" i="11" s="1"/>
  <c r="V58" i="11" s="1"/>
  <c r="T77" i="11"/>
  <c r="S77" i="11"/>
  <c r="S81" i="11" s="1"/>
  <c r="R77" i="11"/>
  <c r="R81" i="11" s="1"/>
  <c r="R84" i="11" s="1"/>
  <c r="R392" i="7"/>
  <c r="R394" i="7" s="1"/>
  <c r="R396" i="7" s="1"/>
  <c r="Q77" i="11"/>
  <c r="P91" i="11"/>
  <c r="P93" i="11" s="1"/>
  <c r="P90" i="11"/>
  <c r="P92" i="11" s="1"/>
  <c r="P87" i="11"/>
  <c r="P86" i="11"/>
  <c r="M95" i="11"/>
  <c r="P77" i="11"/>
  <c r="O77" i="11"/>
  <c r="T95" i="11"/>
  <c r="W83" i="11"/>
  <c r="W81" i="11"/>
  <c r="P82" i="11"/>
  <c r="N77" i="11"/>
  <c r="M77" i="11"/>
  <c r="L77" i="11"/>
  <c r="I77" i="11"/>
  <c r="H77" i="11"/>
  <c r="G77" i="11"/>
  <c r="F77" i="11"/>
  <c r="E77" i="11"/>
  <c r="M115" i="11"/>
  <c r="L115" i="11"/>
  <c r="L95" i="11"/>
  <c r="K115" i="11"/>
  <c r="J103" i="11"/>
  <c r="J115" i="11" s="1"/>
  <c r="I115" i="11"/>
  <c r="E103" i="11"/>
  <c r="D103" i="11"/>
  <c r="N93" i="11"/>
  <c r="H81" i="11"/>
  <c r="I81" i="11" s="1"/>
  <c r="J81" i="11" s="1"/>
  <c r="H82" i="11" l="1"/>
  <c r="V56" i="11"/>
  <c r="F120" i="11"/>
  <c r="T443" i="7"/>
  <c r="T444" i="7" s="1"/>
  <c r="I119" i="11"/>
  <c r="AJ532" i="7"/>
  <c r="AK532" i="7" s="1"/>
  <c r="AK504" i="7"/>
  <c r="AJ505" i="7"/>
  <c r="AJ518" i="7"/>
  <c r="AK518" i="7" s="1"/>
  <c r="AO524" i="7"/>
  <c r="AO525" i="7" s="1"/>
  <c r="AO505" i="7"/>
  <c r="AN506" i="7"/>
  <c r="AN525" i="7" s="1"/>
  <c r="AG532" i="7"/>
  <c r="AE533" i="7"/>
  <c r="AG520" i="7"/>
  <c r="AE521" i="7"/>
  <c r="AG504" i="7"/>
  <c r="AE505" i="7"/>
  <c r="X83" i="11"/>
  <c r="N120" i="11"/>
  <c r="T453" i="7"/>
  <c r="T454" i="7" s="1"/>
  <c r="I82" i="11"/>
  <c r="J82" i="11" s="1"/>
  <c r="AJ476" i="7"/>
  <c r="AI480" i="7"/>
  <c r="AI478" i="7"/>
  <c r="AI476" i="7"/>
  <c r="AK505" i="7" l="1"/>
  <c r="AJ506" i="7"/>
  <c r="AJ519" i="7"/>
  <c r="AK519" i="7" s="1"/>
  <c r="AJ533" i="7"/>
  <c r="AK533" i="7" s="1"/>
  <c r="AK534" i="7" s="1"/>
  <c r="AK535" i="7" s="1"/>
  <c r="AK536" i="7" s="1"/>
  <c r="AO506" i="7"/>
  <c r="AN507" i="7"/>
  <c r="AN526" i="7" s="1"/>
  <c r="AO526" i="7" s="1"/>
  <c r="AO527" i="7" s="1"/>
  <c r="AO528" i="7" s="1"/>
  <c r="AO529" i="7" s="1"/>
  <c r="AO530" i="7" s="1"/>
  <c r="AO531" i="7" s="1"/>
  <c r="AG533" i="7"/>
  <c r="AE534" i="7"/>
  <c r="AG521" i="7"/>
  <c r="AE522" i="7"/>
  <c r="AG522" i="7" s="1"/>
  <c r="AG505" i="7"/>
  <c r="AE506" i="7"/>
  <c r="AG472" i="7"/>
  <c r="AI469" i="7"/>
  <c r="AI468" i="7"/>
  <c r="AI466" i="7"/>
  <c r="AH438" i="7"/>
  <c r="AK436" i="7"/>
  <c r="AK435" i="7"/>
  <c r="AI437" i="7"/>
  <c r="AI435" i="7"/>
  <c r="AI446" i="7"/>
  <c r="AE457" i="7"/>
  <c r="AG457" i="7"/>
  <c r="AH455" i="7"/>
  <c r="AF455" i="7"/>
  <c r="AF453" i="7"/>
  <c r="AH452" i="7"/>
  <c r="AH451" i="7"/>
  <c r="AH448" i="7"/>
  <c r="AI443" i="7"/>
  <c r="AJ443" i="7" s="1"/>
  <c r="AI442" i="7"/>
  <c r="AJ442" i="7" s="1"/>
  <c r="AH443" i="7"/>
  <c r="AH442" i="7"/>
  <c r="AF450" i="7"/>
  <c r="AF448" i="7"/>
  <c r="AF447" i="7"/>
  <c r="AE448" i="7"/>
  <c r="AE447" i="7"/>
  <c r="AF445" i="7"/>
  <c r="AD445" i="7"/>
  <c r="AF444" i="7"/>
  <c r="AD444" i="7"/>
  <c r="AJ520" i="7" l="1"/>
  <c r="AK520" i="7" s="1"/>
  <c r="AK506" i="7"/>
  <c r="AJ507" i="7"/>
  <c r="AO507" i="7"/>
  <c r="AN508" i="7"/>
  <c r="AN509" i="7" s="1"/>
  <c r="AG534" i="7"/>
  <c r="AE535" i="7"/>
  <c r="AG506" i="7"/>
  <c r="AE507" i="7"/>
  <c r="X460" i="7"/>
  <c r="X449" i="7"/>
  <c r="Y449" i="7"/>
  <c r="Y450" i="7" s="1"/>
  <c r="W449" i="7"/>
  <c r="V449" i="7"/>
  <c r="AA449" i="7"/>
  <c r="AA450" i="7" s="1"/>
  <c r="AA451" i="7" s="1"/>
  <c r="AA452" i="7" s="1"/>
  <c r="AD453" i="7"/>
  <c r="AA447" i="7"/>
  <c r="AF442" i="7"/>
  <c r="AE442" i="7"/>
  <c r="AE441" i="7"/>
  <c r="AC433" i="7"/>
  <c r="AC432" i="7"/>
  <c r="AC431" i="7"/>
  <c r="AE430" i="7"/>
  <c r="V433" i="7"/>
  <c r="V432" i="7"/>
  <c r="X432" i="7" s="1"/>
  <c r="V431" i="7"/>
  <c r="AB432" i="7"/>
  <c r="W432" i="7" s="1"/>
  <c r="AB431" i="7"/>
  <c r="AD431" i="7" s="1"/>
  <c r="AB430" i="7"/>
  <c r="W430" i="7" s="1"/>
  <c r="AA430" i="7"/>
  <c r="V430" i="7" s="1"/>
  <c r="X430" i="7" s="1"/>
  <c r="AB428" i="7"/>
  <c r="W428" i="7" s="1"/>
  <c r="AA428" i="7"/>
  <c r="V428" i="7" s="1"/>
  <c r="X428" i="7" s="1"/>
  <c r="AB425" i="7"/>
  <c r="AB424" i="7"/>
  <c r="AB422" i="7"/>
  <c r="AA423" i="7"/>
  <c r="AA422" i="7"/>
  <c r="AK393" i="7"/>
  <c r="AB433" i="7" l="1"/>
  <c r="AC428" i="7"/>
  <c r="AC430" i="7"/>
  <c r="AJ521" i="7"/>
  <c r="AK521" i="7" s="1"/>
  <c r="AK522" i="7" s="1"/>
  <c r="AK507" i="7"/>
  <c r="AJ508" i="7"/>
  <c r="W431" i="7"/>
  <c r="X431" i="7" s="1"/>
  <c r="AD428" i="7"/>
  <c r="AD430" i="7"/>
  <c r="AD432" i="7"/>
  <c r="AA429" i="7"/>
  <c r="AN510" i="7"/>
  <c r="AB429" i="7"/>
  <c r="AO508" i="7"/>
  <c r="AO509" i="7" s="1"/>
  <c r="AG535" i="7"/>
  <c r="AE536" i="7"/>
  <c r="AG536" i="7" s="1"/>
  <c r="AG507" i="7"/>
  <c r="AE508" i="7"/>
  <c r="AG508" i="7" s="1"/>
  <c r="AK388" i="7"/>
  <c r="AK391" i="7" s="1"/>
  <c r="AL391" i="7" s="1"/>
  <c r="AB406" i="7"/>
  <c r="AB409" i="7"/>
  <c r="AB408" i="7"/>
  <c r="Z409" i="7"/>
  <c r="Z403" i="7"/>
  <c r="Y403" i="7"/>
  <c r="Y409" i="7" s="1"/>
  <c r="AG388" i="7"/>
  <c r="AG391" i="7" s="1"/>
  <c r="AG392" i="7" s="1"/>
  <c r="AH382" i="7"/>
  <c r="AH385" i="7"/>
  <c r="AI385" i="7" s="1"/>
  <c r="AH388" i="7"/>
  <c r="AH391" i="7" s="1"/>
  <c r="AI391" i="7" s="1"/>
  <c r="AF411" i="7"/>
  <c r="AG413" i="7"/>
  <c r="AF414" i="7"/>
  <c r="AF413" i="7"/>
  <c r="AH413" i="7" s="1"/>
  <c r="AC403" i="7"/>
  <c r="S386" i="7"/>
  <c r="S387" i="7" s="1"/>
  <c r="S388" i="7" s="1"/>
  <c r="R385" i="7"/>
  <c r="S385" i="7" s="1"/>
  <c r="H66" i="15"/>
  <c r="G66" i="15"/>
  <c r="F66" i="15"/>
  <c r="E66" i="15"/>
  <c r="D66" i="15"/>
  <c r="C66" i="15"/>
  <c r="H57" i="15"/>
  <c r="G57" i="15"/>
  <c r="G63" i="15" s="1"/>
  <c r="F57" i="15"/>
  <c r="F63" i="15" s="1"/>
  <c r="E57" i="15"/>
  <c r="D57" i="15"/>
  <c r="C57" i="15"/>
  <c r="C63" i="15" s="1"/>
  <c r="G72" i="15"/>
  <c r="F72" i="15"/>
  <c r="H72" i="15"/>
  <c r="E72" i="15"/>
  <c r="D72" i="15"/>
  <c r="H63" i="15"/>
  <c r="E63" i="15"/>
  <c r="D63" i="15"/>
  <c r="E48" i="15"/>
  <c r="E54" i="15" s="1"/>
  <c r="H39" i="15"/>
  <c r="H48" i="15" s="1"/>
  <c r="H54" i="15" s="1"/>
  <c r="G39" i="15"/>
  <c r="G48" i="15" s="1"/>
  <c r="G54" i="15" s="1"/>
  <c r="F39" i="15"/>
  <c r="F48" i="15" s="1"/>
  <c r="F54" i="15" s="1"/>
  <c r="E39" i="15"/>
  <c r="D39" i="15"/>
  <c r="D48" i="15" s="1"/>
  <c r="D54" i="15" s="1"/>
  <c r="C39" i="15"/>
  <c r="C45" i="15" s="1"/>
  <c r="G45" i="15"/>
  <c r="H45" i="15"/>
  <c r="E45" i="15"/>
  <c r="D45" i="15"/>
  <c r="H30" i="15"/>
  <c r="G30" i="15"/>
  <c r="G36" i="15" s="1"/>
  <c r="F30" i="15"/>
  <c r="F36" i="15" s="1"/>
  <c r="E30" i="15"/>
  <c r="D30" i="15"/>
  <c r="C30" i="15"/>
  <c r="C36" i="15" s="1"/>
  <c r="H36" i="15"/>
  <c r="E36" i="15"/>
  <c r="D36" i="15"/>
  <c r="G18" i="15"/>
  <c r="F18" i="15"/>
  <c r="C18" i="15"/>
  <c r="H12" i="15"/>
  <c r="H18" i="15" s="1"/>
  <c r="H19" i="15" s="1"/>
  <c r="G12" i="15"/>
  <c r="G21" i="15" s="1"/>
  <c r="G27" i="15" s="1"/>
  <c r="G28" i="15" s="1"/>
  <c r="F12" i="15"/>
  <c r="F21" i="15" s="1"/>
  <c r="F27" i="15" s="1"/>
  <c r="F28" i="15" s="1"/>
  <c r="E12" i="15"/>
  <c r="E21" i="15" s="1"/>
  <c r="E27" i="15" s="1"/>
  <c r="E28" i="15" s="1"/>
  <c r="D12" i="15"/>
  <c r="D18" i="15" s="1"/>
  <c r="C12" i="15"/>
  <c r="C21" i="15" s="1"/>
  <c r="C27" i="15" s="1"/>
  <c r="C28" i="15" s="1"/>
  <c r="H9" i="15"/>
  <c r="H10" i="15" s="1"/>
  <c r="G9" i="15"/>
  <c r="G10" i="15" s="1"/>
  <c r="F9" i="15"/>
  <c r="F10" i="15" s="1"/>
  <c r="E9" i="15"/>
  <c r="E10" i="15" s="1"/>
  <c r="D9" i="15"/>
  <c r="D10" i="15" s="1"/>
  <c r="V386" i="7"/>
  <c r="V387" i="7" s="1"/>
  <c r="U388" i="7" s="1"/>
  <c r="V388" i="7"/>
  <c r="U385" i="7"/>
  <c r="V385" i="7" s="1"/>
  <c r="AF388" i="7"/>
  <c r="AF391" i="7" s="1"/>
  <c r="AC391" i="7"/>
  <c r="AB391" i="7"/>
  <c r="AA382" i="7"/>
  <c r="AA391" i="7" s="1"/>
  <c r="AE384" i="7"/>
  <c r="AF363" i="7"/>
  <c r="E18" i="15" l="1"/>
  <c r="F45" i="15"/>
  <c r="W433" i="7"/>
  <c r="X433" i="7" s="1"/>
  <c r="AD433" i="7"/>
  <c r="AO510" i="7"/>
  <c r="AN511" i="7"/>
  <c r="AO511" i="7" s="1"/>
  <c r="AO512" i="7" s="1"/>
  <c r="D21" i="15"/>
  <c r="D27" i="15" s="1"/>
  <c r="D28" i="15" s="1"/>
  <c r="H21" i="15"/>
  <c r="H27" i="15" s="1"/>
  <c r="H28" i="15" s="1"/>
  <c r="AC429" i="7"/>
  <c r="V429" i="7"/>
  <c r="X429" i="7" s="1"/>
  <c r="C48" i="15"/>
  <c r="C54" i="15" s="1"/>
  <c r="W429" i="7"/>
  <c r="AD429" i="7"/>
  <c r="AK508" i="7"/>
  <c r="AH392" i="7"/>
  <c r="AH393" i="7" s="1"/>
  <c r="AH394" i="7" s="1"/>
  <c r="R387" i="7"/>
  <c r="R389" i="7" s="1"/>
  <c r="R390" i="7" s="1"/>
  <c r="C72" i="15"/>
  <c r="U387" i="7"/>
  <c r="AH356" i="7"/>
  <c r="AH358" i="7" s="1"/>
  <c r="AH354" i="7"/>
  <c r="AA345" i="7"/>
  <c r="AF350" i="7"/>
  <c r="AF354" i="7" s="1"/>
  <c r="AF356" i="7" s="1"/>
  <c r="AF358" i="7" s="1"/>
  <c r="AE345" i="7"/>
  <c r="AD370" i="7"/>
  <c r="AD367" i="7"/>
  <c r="AC367" i="7"/>
  <c r="AC370" i="7" s="1"/>
  <c r="AB370" i="7"/>
  <c r="AD354" i="7"/>
  <c r="AD356" i="7" s="1"/>
  <c r="AD358" i="7" s="1"/>
  <c r="AC354" i="7"/>
  <c r="AC356" i="7" s="1"/>
  <c r="AC358" i="7" s="1"/>
  <c r="AB367" i="7"/>
  <c r="AB354" i="7"/>
  <c r="AB356" i="7" s="1"/>
  <c r="AB358" i="7" s="1"/>
  <c r="W365" i="7"/>
  <c r="W364" i="7"/>
  <c r="W363" i="7"/>
  <c r="W362" i="7"/>
  <c r="W361" i="7"/>
  <c r="W360" i="7"/>
  <c r="W359" i="7"/>
  <c r="W358" i="7"/>
  <c r="W357" i="7"/>
  <c r="W356" i="7"/>
  <c r="W355" i="7"/>
  <c r="W354" i="7"/>
  <c r="W353" i="7"/>
  <c r="W352" i="7"/>
  <c r="W351" i="7"/>
  <c r="W350" i="7"/>
  <c r="V351" i="7"/>
  <c r="V352" i="7" s="1"/>
  <c r="V353" i="7" s="1"/>
  <c r="V354" i="7" s="1"/>
  <c r="V355" i="7" s="1"/>
  <c r="V356" i="7" s="1"/>
  <c r="V357" i="7" s="1"/>
  <c r="V358" i="7" s="1"/>
  <c r="V359" i="7" s="1"/>
  <c r="V360" i="7" s="1"/>
  <c r="V361" i="7" s="1"/>
  <c r="V362" i="7" s="1"/>
  <c r="V363" i="7" s="1"/>
  <c r="V364" i="7" s="1"/>
  <c r="V365" i="7" s="1"/>
  <c r="V366" i="7" s="1"/>
  <c r="V367" i="7" s="1"/>
  <c r="V368" i="7" s="1"/>
  <c r="V369" i="7" s="1"/>
  <c r="V370" i="7" s="1"/>
  <c r="R351" i="7"/>
  <c r="R352" i="7" s="1"/>
  <c r="R353" i="7" s="1"/>
  <c r="R354" i="7" s="1"/>
  <c r="R355" i="7" s="1"/>
  <c r="R356" i="7" s="1"/>
  <c r="R357" i="7" s="1"/>
  <c r="R358" i="7" s="1"/>
  <c r="R359" i="7" s="1"/>
  <c r="R360" i="7" s="1"/>
  <c r="R361" i="7" s="1"/>
  <c r="R362" i="7" s="1"/>
  <c r="R363" i="7" s="1"/>
  <c r="R364" i="7" s="1"/>
  <c r="R365" i="7" s="1"/>
  <c r="R366" i="7" s="1"/>
  <c r="R367" i="7" s="1"/>
  <c r="R368" i="7" s="1"/>
  <c r="R369" i="7" s="1"/>
  <c r="R370" i="7" s="1"/>
  <c r="AD345" i="7"/>
  <c r="Z345" i="7"/>
  <c r="W341" i="7"/>
  <c r="W343" i="7" s="1"/>
  <c r="W345" i="7" s="1"/>
  <c r="AB326" i="7"/>
  <c r="X315" i="7"/>
  <c r="X320" i="7" s="1"/>
  <c r="X321" i="7" s="1"/>
  <c r="W315" i="7"/>
  <c r="W320" i="7" s="1"/>
  <c r="W321" i="7" s="1"/>
  <c r="U321" i="7"/>
  <c r="T317" i="7"/>
  <c r="T318" i="7" s="1"/>
  <c r="T316" i="7"/>
  <c r="T315" i="7"/>
  <c r="V315" i="7"/>
  <c r="V320" i="7" s="1"/>
  <c r="AB322" i="7"/>
  <c r="AB321" i="7"/>
  <c r="T327" i="7"/>
  <c r="S327" i="7"/>
  <c r="S328" i="7"/>
  <c r="S316" i="7"/>
  <c r="S315" i="7"/>
  <c r="S321" i="7" s="1"/>
  <c r="R316" i="7"/>
  <c r="R315" i="7"/>
  <c r="R321" i="7" s="1"/>
  <c r="R322" i="7" s="1"/>
  <c r="W287" i="7"/>
  <c r="W289" i="7"/>
  <c r="W288" i="7"/>
  <c r="D4" i="1"/>
  <c r="X288" i="7"/>
  <c r="X287" i="7"/>
  <c r="O338" i="7"/>
  <c r="T341" i="7"/>
  <c r="Q342" i="7"/>
  <c r="Q277" i="7"/>
  <c r="Q276" i="7"/>
  <c r="U270" i="7"/>
  <c r="U282" i="7"/>
  <c r="U269" i="7"/>
  <c r="U389" i="7" l="1"/>
  <c r="U390" i="7" s="1"/>
  <c r="L198" i="7"/>
  <c r="I198" i="7"/>
  <c r="O290" i="7"/>
  <c r="O286" i="7"/>
  <c r="I200" i="7"/>
  <c r="I196" i="7"/>
  <c r="L196" i="7"/>
  <c r="L200" i="7"/>
  <c r="O315" i="7"/>
  <c r="O314" i="7"/>
  <c r="Z334" i="7"/>
  <c r="Y334" i="7"/>
  <c r="X334" i="7"/>
  <c r="W334" i="7"/>
  <c r="W332" i="7"/>
  <c r="Z330" i="7"/>
  <c r="Y330" i="7"/>
  <c r="X330" i="7"/>
  <c r="W328" i="7"/>
  <c r="W330" i="7" s="1"/>
  <c r="Z326" i="7"/>
  <c r="Y326" i="7"/>
  <c r="X326" i="7"/>
  <c r="W325" i="7"/>
  <c r="W326" i="7" s="1"/>
  <c r="W324" i="7"/>
  <c r="AC317" i="7"/>
  <c r="AD315" i="7"/>
  <c r="T298" i="7"/>
  <c r="Z304" i="7"/>
  <c r="Y304" i="7"/>
  <c r="X304" i="7"/>
  <c r="W304" i="7"/>
  <c r="V304" i="7"/>
  <c r="U304" i="7"/>
  <c r="T304" i="7"/>
  <c r="M169" i="6"/>
  <c r="O170" i="6"/>
  <c r="AH249" i="7"/>
  <c r="AI248" i="7"/>
  <c r="AH248" i="7"/>
  <c r="AA279" i="7" l="1"/>
  <c r="AA312" i="7"/>
  <c r="AA315" i="7"/>
  <c r="AH304" i="7"/>
  <c r="AH303" i="7"/>
  <c r="AG300" i="7"/>
  <c r="AG299" i="7"/>
  <c r="AG298" i="7"/>
  <c r="AG301" i="7" s="1"/>
  <c r="AG302" i="7" s="1"/>
  <c r="AC296" i="7"/>
  <c r="AD291" i="7"/>
  <c r="AD292" i="7" s="1"/>
  <c r="B198" i="7" l="1"/>
  <c r="U279" i="7"/>
  <c r="U280" i="7" s="1"/>
  <c r="T279" i="7"/>
  <c r="T280" i="7" s="1"/>
  <c r="S288" i="7"/>
  <c r="U284" i="7"/>
  <c r="AF280" i="7"/>
  <c r="AD275" i="7"/>
  <c r="AG271" i="7"/>
  <c r="X278" i="7"/>
  <c r="Y278" i="7"/>
  <c r="W278" i="7"/>
  <c r="V278" i="7"/>
  <c r="U278" i="7"/>
  <c r="T278" i="7"/>
  <c r="AF268" i="7"/>
  <c r="AF267" i="7"/>
  <c r="AF266" i="7"/>
  <c r="AF265" i="7"/>
  <c r="AF264" i="7"/>
  <c r="AF263" i="7"/>
  <c r="AF262" i="7"/>
  <c r="AF261" i="7"/>
  <c r="AF269" i="7" s="1"/>
  <c r="AF270" i="7" s="1"/>
  <c r="AE265" i="7"/>
  <c r="Z268" i="7"/>
  <c r="Z269" i="7" s="1"/>
  <c r="Z267" i="7"/>
  <c r="Z266" i="7"/>
  <c r="Z265" i="7"/>
  <c r="Z264" i="7"/>
  <c r="Z263" i="7"/>
  <c r="Z262" i="7"/>
  <c r="Z261" i="7"/>
  <c r="AC265" i="7"/>
  <c r="AC264" i="7"/>
  <c r="AC263" i="7"/>
  <c r="AC262" i="7"/>
  <c r="D19" i="1"/>
  <c r="E25" i="1"/>
  <c r="E21" i="1"/>
  <c r="E22" i="1" s="1"/>
  <c r="E24" i="1" s="1"/>
  <c r="I33" i="1"/>
  <c r="I29" i="1"/>
  <c r="I30" i="1" s="1"/>
  <c r="I32" i="1" s="1"/>
  <c r="I31" i="1"/>
  <c r="E23" i="1"/>
  <c r="D18" i="1"/>
  <c r="F2" i="1"/>
  <c r="D17" i="1"/>
  <c r="G5" i="1"/>
  <c r="G3" i="1"/>
  <c r="D14" i="1"/>
  <c r="D13" i="1"/>
  <c r="D9" i="1"/>
  <c r="D10" i="1"/>
  <c r="G7" i="1"/>
  <c r="G2" i="1" s="1"/>
  <c r="D7" i="1"/>
  <c r="F5" i="1"/>
  <c r="F6" i="1"/>
  <c r="F4" i="1"/>
  <c r="F3" i="1"/>
  <c r="D3" i="1"/>
  <c r="N34" i="8"/>
  <c r="M29" i="8"/>
  <c r="N29" i="8"/>
  <c r="N28" i="8"/>
  <c r="M28" i="8"/>
  <c r="J30" i="8"/>
  <c r="J28" i="8"/>
  <c r="J29" i="8"/>
  <c r="L30" i="8"/>
  <c r="L29" i="8"/>
  <c r="L28" i="8"/>
  <c r="K30" i="8"/>
  <c r="K29" i="8"/>
  <c r="K28" i="8"/>
  <c r="AE240" i="7"/>
  <c r="AE239" i="7"/>
  <c r="AC266" i="7" l="1"/>
  <c r="AC267" i="7" s="1"/>
  <c r="AC270" i="7" s="1"/>
  <c r="X279" i="7"/>
  <c r="X280" i="7"/>
  <c r="AD257" i="7"/>
  <c r="AG252" i="7"/>
  <c r="AD252" i="7" l="1"/>
  <c r="AD253" i="7" s="1"/>
  <c r="AD261" i="7"/>
  <c r="AD262" i="7" s="1"/>
  <c r="X254" i="7" l="1"/>
  <c r="Z255" i="7"/>
  <c r="AC255" i="7"/>
  <c r="AC254" i="7"/>
  <c r="AB255" i="7"/>
  <c r="AB254" i="7"/>
  <c r="AB250" i="7"/>
  <c r="AD248" i="7"/>
  <c r="AE248" i="7"/>
  <c r="D134" i="13"/>
  <c r="D121" i="13"/>
  <c r="J121" i="13"/>
  <c r="J134" i="13" s="1"/>
  <c r="G121" i="13"/>
  <c r="G134" i="13" s="1"/>
  <c r="M121" i="13"/>
  <c r="M124" i="13" s="1"/>
  <c r="M122" i="13"/>
  <c r="D15" i="1"/>
  <c r="J60" i="11"/>
  <c r="G60" i="11"/>
  <c r="D60" i="11"/>
  <c r="L128" i="13" l="1"/>
  <c r="M128" i="13"/>
  <c r="AC256" i="7"/>
  <c r="AD249" i="7"/>
  <c r="B226" i="7"/>
  <c r="C226" i="7"/>
  <c r="C230" i="7" s="1"/>
  <c r="C227" i="7"/>
  <c r="W240" i="7"/>
  <c r="X239" i="7"/>
  <c r="W239" i="7"/>
  <c r="AC235" i="7"/>
  <c r="AC238" i="7"/>
  <c r="AA238" i="7"/>
  <c r="Z238" i="7"/>
  <c r="AA235" i="7"/>
  <c r="Z248" i="7"/>
  <c r="AA247" i="7"/>
  <c r="AA248" i="7" s="1"/>
  <c r="Y241" i="7"/>
  <c r="X238" i="7"/>
  <c r="X237" i="7"/>
  <c r="P247" i="7"/>
  <c r="P249" i="7" s="1"/>
  <c r="W245" i="7"/>
  <c r="W246" i="7"/>
  <c r="V246" i="7"/>
  <c r="S246" i="7"/>
  <c r="T246" i="7"/>
  <c r="O118" i="13"/>
  <c r="O239" i="7"/>
  <c r="O236" i="7"/>
  <c r="V237" i="7"/>
  <c r="V236" i="7"/>
  <c r="V235" i="7"/>
  <c r="V234" i="7"/>
  <c r="V233" i="7"/>
  <c r="P233" i="7"/>
  <c r="O234" i="7"/>
  <c r="O233" i="7"/>
  <c r="Q116" i="13"/>
  <c r="P116" i="13"/>
  <c r="N116" i="13"/>
  <c r="M116" i="13"/>
  <c r="K116" i="13"/>
  <c r="J116" i="13"/>
  <c r="H116" i="13"/>
  <c r="G116" i="13"/>
  <c r="D116" i="13"/>
  <c r="C116" i="13"/>
  <c r="D115" i="13"/>
  <c r="O105" i="13"/>
  <c r="N105" i="13"/>
  <c r="M105" i="13"/>
  <c r="L105" i="13"/>
  <c r="K105" i="13"/>
  <c r="J105" i="13"/>
  <c r="G105" i="13"/>
  <c r="F105" i="13"/>
  <c r="E105" i="13"/>
  <c r="D105" i="13"/>
  <c r="C105" i="13"/>
  <c r="B105" i="13"/>
  <c r="L195" i="7"/>
  <c r="L194" i="7"/>
  <c r="I194" i="7"/>
  <c r="I204" i="7"/>
  <c r="V247" i="7" l="1"/>
  <c r="O128" i="13"/>
  <c r="N128" i="13"/>
  <c r="Z249" i="7"/>
  <c r="S247" i="7"/>
  <c r="G117" i="13"/>
  <c r="C117" i="13"/>
  <c r="K92" i="13"/>
  <c r="M92" i="13" s="1"/>
  <c r="N92" i="13" s="1"/>
  <c r="K91" i="13"/>
  <c r="M91" i="13" s="1"/>
  <c r="N91" i="13" s="1"/>
  <c r="K90" i="13"/>
  <c r="M90" i="13" s="1"/>
  <c r="O90" i="13" s="1"/>
  <c r="M89" i="13"/>
  <c r="N89" i="13" s="1"/>
  <c r="K89" i="13"/>
  <c r="K87" i="13"/>
  <c r="K86" i="13"/>
  <c r="K85" i="13"/>
  <c r="M85" i="13" s="1"/>
  <c r="O85" i="13" s="1"/>
  <c r="M86" i="13"/>
  <c r="O86" i="13" s="1"/>
  <c r="K84" i="13"/>
  <c r="K81" i="13"/>
  <c r="K80" i="13"/>
  <c r="K82" i="13"/>
  <c r="M87" i="13"/>
  <c r="O87" i="13" s="1"/>
  <c r="M84" i="13"/>
  <c r="O84" i="13" s="1"/>
  <c r="M80" i="13"/>
  <c r="O80" i="13" s="1"/>
  <c r="M81" i="13"/>
  <c r="O81" i="13" s="1"/>
  <c r="M82" i="13"/>
  <c r="N82" i="13" s="1"/>
  <c r="K79" i="13"/>
  <c r="M79" i="13" s="1"/>
  <c r="J75" i="13"/>
  <c r="R76" i="13"/>
  <c r="Q76" i="13"/>
  <c r="P76" i="13"/>
  <c r="N76" i="13"/>
  <c r="O76" i="13"/>
  <c r="M76" i="13"/>
  <c r="K70" i="13"/>
  <c r="K71" i="13"/>
  <c r="H72" i="13"/>
  <c r="H74" i="13" s="1"/>
  <c r="G72" i="13"/>
  <c r="G74" i="13" s="1"/>
  <c r="F72" i="13"/>
  <c r="F74" i="13" s="1"/>
  <c r="E72" i="13"/>
  <c r="E74" i="13" s="1"/>
  <c r="AC125" i="7"/>
  <c r="AD125" i="7"/>
  <c r="X116" i="7"/>
  <c r="W117" i="7"/>
  <c r="T68" i="7"/>
  <c r="Y150" i="9"/>
  <c r="Y149" i="9"/>
  <c r="Z147" i="9"/>
  <c r="V147" i="9"/>
  <c r="W147" i="9" s="1"/>
  <c r="V146" i="9"/>
  <c r="W146" i="9" s="1"/>
  <c r="V145" i="9"/>
  <c r="W145" i="9" s="1"/>
  <c r="W148" i="9" s="1"/>
  <c r="O79" i="13" l="1"/>
  <c r="N79" i="13"/>
  <c r="H73" i="13"/>
  <c r="N80" i="13"/>
  <c r="N84" i="13"/>
  <c r="N86" i="13"/>
  <c r="O89" i="13"/>
  <c r="O91" i="13"/>
  <c r="E73" i="13"/>
  <c r="N90" i="13"/>
  <c r="P128" i="13"/>
  <c r="F73" i="13"/>
  <c r="N81" i="13"/>
  <c r="N85" i="13"/>
  <c r="N87" i="13"/>
  <c r="Q128" i="13"/>
  <c r="G73" i="13"/>
  <c r="O92" i="13"/>
  <c r="O82" i="13"/>
  <c r="AC126" i="7"/>
  <c r="AC127" i="7" s="1"/>
  <c r="BL106" i="7" l="1"/>
  <c r="BR154" i="7"/>
  <c r="BR153" i="7"/>
  <c r="BH177" i="7"/>
  <c r="BH176" i="7"/>
  <c r="BO171" i="7"/>
  <c r="BP171" i="7" s="1"/>
  <c r="BS171" i="7" s="1"/>
  <c r="BN172" i="7" s="1"/>
  <c r="BO172" i="7" s="1"/>
  <c r="BP172" i="7" s="1"/>
  <c r="BS172" i="7" s="1"/>
  <c r="BN169" i="7"/>
  <c r="BJ170" i="7"/>
  <c r="BJ171" i="7" s="1"/>
  <c r="BJ172" i="7" s="1"/>
  <c r="BG143" i="7"/>
  <c r="BF142" i="7"/>
  <c r="BF143" i="7" s="1"/>
  <c r="BD135" i="7"/>
  <c r="BD136" i="7" s="1"/>
  <c r="BD137" i="7" s="1"/>
  <c r="BD133" i="7"/>
  <c r="BB111" i="7"/>
  <c r="BA110" i="7"/>
  <c r="AX107" i="7"/>
  <c r="AX111" i="7"/>
  <c r="AX112" i="7" s="1"/>
  <c r="AS109" i="7"/>
  <c r="AU110" i="7" s="1"/>
  <c r="AZ111" i="7"/>
  <c r="BC108" i="7"/>
  <c r="BC107" i="7"/>
  <c r="AS98" i="7"/>
  <c r="AS99" i="7" s="1"/>
  <c r="AS100" i="7" s="1"/>
  <c r="AS101" i="7" s="1"/>
  <c r="AR95" i="7"/>
  <c r="AR94" i="7"/>
  <c r="BE99" i="7"/>
  <c r="BC97" i="7"/>
  <c r="BB97" i="7"/>
  <c r="BA98" i="7"/>
  <c r="BA97" i="7"/>
  <c r="BG144" i="7" l="1"/>
  <c r="AS103" i="7"/>
  <c r="I66" i="13"/>
  <c r="E66" i="13"/>
  <c r="G66" i="13" s="1"/>
  <c r="H66" i="13" s="1"/>
  <c r="L66" i="13" s="1"/>
  <c r="M66" i="13" s="1"/>
  <c r="I65" i="13"/>
  <c r="G65" i="13"/>
  <c r="H65" i="13" s="1"/>
  <c r="L65" i="13" s="1"/>
  <c r="M65" i="13" s="1"/>
  <c r="I64" i="13"/>
  <c r="G64" i="13"/>
  <c r="H64" i="13" s="1"/>
  <c r="L64" i="13" s="1"/>
  <c r="I62" i="13"/>
  <c r="E62" i="13"/>
  <c r="I61" i="13"/>
  <c r="G62" i="13"/>
  <c r="H62" i="13" s="1"/>
  <c r="L62" i="13" s="1"/>
  <c r="G61" i="13"/>
  <c r="H61" i="13" s="1"/>
  <c r="L61" i="13" s="1"/>
  <c r="I60" i="13"/>
  <c r="G60" i="13"/>
  <c r="H60" i="13" s="1"/>
  <c r="I56" i="13"/>
  <c r="E56" i="13"/>
  <c r="G56" i="13" s="1"/>
  <c r="H56" i="13" s="1"/>
  <c r="L56" i="13" s="1"/>
  <c r="I55" i="13"/>
  <c r="E55" i="13"/>
  <c r="G55" i="13" s="1"/>
  <c r="L55" i="13" s="1"/>
  <c r="I54" i="13"/>
  <c r="E54" i="13"/>
  <c r="G54" i="13" s="1"/>
  <c r="H54" i="13" s="1"/>
  <c r="L54" i="13" s="1"/>
  <c r="I53" i="13"/>
  <c r="E53" i="13"/>
  <c r="G53" i="13" s="1"/>
  <c r="H53" i="13" s="1"/>
  <c r="L53" i="13" s="1"/>
  <c r="I52" i="13"/>
  <c r="E52" i="13"/>
  <c r="G52" i="13" s="1"/>
  <c r="H52" i="13" s="1"/>
  <c r="K51" i="13"/>
  <c r="I51" i="13"/>
  <c r="L51" i="13"/>
  <c r="G51" i="13"/>
  <c r="E51" i="13"/>
  <c r="I47" i="13"/>
  <c r="E47" i="13"/>
  <c r="G47" i="13" s="1"/>
  <c r="H47" i="13" s="1"/>
  <c r="L47" i="13" s="1"/>
  <c r="I46" i="13"/>
  <c r="E46" i="13"/>
  <c r="G46" i="13" s="1"/>
  <c r="L46" i="13" s="1"/>
  <c r="I45" i="13"/>
  <c r="E45" i="13"/>
  <c r="G45" i="13" s="1"/>
  <c r="H45" i="13" s="1"/>
  <c r="L45" i="13" s="1"/>
  <c r="I44" i="13"/>
  <c r="E44" i="13"/>
  <c r="G44" i="13" s="1"/>
  <c r="H44" i="13" s="1"/>
  <c r="L44" i="13" s="1"/>
  <c r="I43" i="13"/>
  <c r="E43" i="13"/>
  <c r="G43" i="13" s="1"/>
  <c r="H43" i="13" s="1"/>
  <c r="K42" i="13"/>
  <c r="I42" i="13"/>
  <c r="L42" i="13"/>
  <c r="G42" i="13"/>
  <c r="E42" i="13"/>
  <c r="I38" i="13"/>
  <c r="E38" i="13"/>
  <c r="G38" i="13" s="1"/>
  <c r="H38" i="13" s="1"/>
  <c r="L38" i="13" s="1"/>
  <c r="I37" i="13"/>
  <c r="E37" i="13"/>
  <c r="G37" i="13" s="1"/>
  <c r="L37" i="13" s="1"/>
  <c r="I36" i="13"/>
  <c r="E36" i="13"/>
  <c r="G36" i="13" s="1"/>
  <c r="H36" i="13" s="1"/>
  <c r="L36" i="13" s="1"/>
  <c r="I35" i="13"/>
  <c r="E35" i="13"/>
  <c r="G35" i="13" s="1"/>
  <c r="H35" i="13" s="1"/>
  <c r="L35" i="13" s="1"/>
  <c r="I34" i="13"/>
  <c r="E34" i="13"/>
  <c r="G34" i="13" s="1"/>
  <c r="H34" i="13" s="1"/>
  <c r="K33" i="13"/>
  <c r="I33" i="13"/>
  <c r="G33" i="13"/>
  <c r="L33" i="13" s="1"/>
  <c r="E33" i="13"/>
  <c r="I29" i="13"/>
  <c r="G29" i="13"/>
  <c r="H29" i="13" s="1"/>
  <c r="E29" i="13"/>
  <c r="I28" i="13"/>
  <c r="E28" i="13"/>
  <c r="G28" i="13" s="1"/>
  <c r="H28" i="13" s="1"/>
  <c r="L28" i="13" s="1"/>
  <c r="I27" i="13"/>
  <c r="G27" i="13"/>
  <c r="H27" i="13" s="1"/>
  <c r="E27" i="13"/>
  <c r="I26" i="13"/>
  <c r="E26" i="13"/>
  <c r="G26" i="13" s="1"/>
  <c r="H26" i="13" s="1"/>
  <c r="L26" i="13" s="1"/>
  <c r="I25" i="13"/>
  <c r="E25" i="13"/>
  <c r="G25" i="13" s="1"/>
  <c r="H25" i="13" s="1"/>
  <c r="L25" i="13" s="1"/>
  <c r="K24" i="13"/>
  <c r="I24" i="13"/>
  <c r="E24" i="13"/>
  <c r="G24" i="13" s="1"/>
  <c r="L24" i="13" s="1"/>
  <c r="E17" i="13"/>
  <c r="E9" i="13"/>
  <c r="G9" i="13" s="1"/>
  <c r="E5" i="13"/>
  <c r="F18" i="13"/>
  <c r="G18" i="13" s="1"/>
  <c r="L18" i="13" s="1"/>
  <c r="F17" i="13"/>
  <c r="F16" i="13"/>
  <c r="F15" i="13"/>
  <c r="F14" i="13"/>
  <c r="F13" i="13"/>
  <c r="I18" i="13"/>
  <c r="E18" i="13"/>
  <c r="I17" i="13"/>
  <c r="I16" i="13"/>
  <c r="E16" i="13"/>
  <c r="G16" i="13" s="1"/>
  <c r="I15" i="13"/>
  <c r="E15" i="13"/>
  <c r="G15" i="13" s="1"/>
  <c r="H15" i="13" s="1"/>
  <c r="L15" i="13" s="1"/>
  <c r="I14" i="13"/>
  <c r="E14" i="13"/>
  <c r="G14" i="13" s="1"/>
  <c r="L14" i="13" s="1"/>
  <c r="K13" i="13"/>
  <c r="I13" i="13"/>
  <c r="E13" i="13"/>
  <c r="G13" i="13" s="1"/>
  <c r="K5" i="13"/>
  <c r="I10" i="13"/>
  <c r="I9" i="13"/>
  <c r="I8" i="13"/>
  <c r="I7" i="13"/>
  <c r="I6" i="13"/>
  <c r="I5" i="13"/>
  <c r="E6" i="13"/>
  <c r="G6" i="13" s="1"/>
  <c r="H6" i="13" s="1"/>
  <c r="L6" i="13" s="1"/>
  <c r="G5" i="13"/>
  <c r="H5" i="13" s="1"/>
  <c r="E10" i="13"/>
  <c r="G10" i="13" s="1"/>
  <c r="H10" i="13" s="1"/>
  <c r="L10" i="13" s="1"/>
  <c r="E8" i="13"/>
  <c r="G8" i="13" s="1"/>
  <c r="H8" i="13" s="1"/>
  <c r="L8" i="13" s="1"/>
  <c r="E7" i="13"/>
  <c r="G7" i="13" s="1"/>
  <c r="H7" i="13" s="1"/>
  <c r="L7" i="13" s="1"/>
  <c r="L16" i="13" l="1"/>
  <c r="L5" i="13"/>
  <c r="L27" i="13"/>
  <c r="L30" i="13" s="1"/>
  <c r="L29" i="13"/>
  <c r="L34" i="13"/>
  <c r="L43" i="13"/>
  <c r="L52" i="13"/>
  <c r="L60" i="13"/>
  <c r="M64" i="13" s="1"/>
  <c r="L57" i="13"/>
  <c r="L48" i="13"/>
  <c r="L39" i="13"/>
  <c r="G17" i="13"/>
  <c r="L17" i="13" s="1"/>
  <c r="L13" i="13"/>
  <c r="H9" i="13"/>
  <c r="L9" i="13" s="1"/>
  <c r="L11" i="13" s="1"/>
  <c r="BC102" i="7"/>
  <c r="BC101" i="7"/>
  <c r="BF65" i="7"/>
  <c r="BH60" i="7"/>
  <c r="AW53" i="7"/>
  <c r="AX53" i="7" s="1"/>
  <c r="AY53" i="7" s="1"/>
  <c r="AV53" i="7"/>
  <c r="BF60" i="7"/>
  <c r="BF59" i="7"/>
  <c r="BE59" i="7"/>
  <c r="BE56" i="7"/>
  <c r="BE57" i="7" s="1"/>
  <c r="BF56" i="7"/>
  <c r="AZ66" i="7"/>
  <c r="AW66" i="7"/>
  <c r="AV66" i="7"/>
  <c r="AZ65" i="7"/>
  <c r="AW65" i="7"/>
  <c r="AV65" i="7"/>
  <c r="AX65" i="7" s="1"/>
  <c r="AY65" i="7" s="1"/>
  <c r="AZ64" i="7"/>
  <c r="AW64" i="7"/>
  <c r="AV64" i="7"/>
  <c r="AX64" i="7" s="1"/>
  <c r="AY64" i="7" s="1"/>
  <c r="BB64" i="7" s="1"/>
  <c r="AZ63" i="7"/>
  <c r="AW63" i="7"/>
  <c r="AV63" i="7"/>
  <c r="AX63" i="7" s="1"/>
  <c r="AY63" i="7" s="1"/>
  <c r="AZ62" i="7"/>
  <c r="AW62" i="7"/>
  <c r="AX62" i="7" s="1"/>
  <c r="AV62" i="7"/>
  <c r="AZ61" i="7"/>
  <c r="AW61" i="7"/>
  <c r="AV61" i="7"/>
  <c r="AZ54" i="7"/>
  <c r="AZ56" i="7"/>
  <c r="AV56" i="7"/>
  <c r="AV54" i="7"/>
  <c r="AZ58" i="7"/>
  <c r="AZ57" i="7"/>
  <c r="AZ53" i="7"/>
  <c r="AV57" i="7"/>
  <c r="AW58" i="7"/>
  <c r="AV58" i="7"/>
  <c r="AX58" i="7" s="1"/>
  <c r="AY58" i="7" s="1"/>
  <c r="BB58" i="7" s="1"/>
  <c r="AW57" i="7"/>
  <c r="AX57" i="7" s="1"/>
  <c r="AY57" i="7" s="1"/>
  <c r="AW56" i="7"/>
  <c r="AZ55" i="7"/>
  <c r="AW55" i="7"/>
  <c r="AV55" i="7"/>
  <c r="AX55" i="7" s="1"/>
  <c r="AY55" i="7" s="1"/>
  <c r="BB55" i="7" s="1"/>
  <c r="AW54" i="7"/>
  <c r="BI51" i="7"/>
  <c r="BJ51" i="7" s="1"/>
  <c r="BI45" i="7"/>
  <c r="BJ45" i="7" s="1"/>
  <c r="BI46" i="7"/>
  <c r="BJ46" i="7" s="1"/>
  <c r="BG47" i="7"/>
  <c r="BG48" i="7"/>
  <c r="BG52" i="7"/>
  <c r="BF54" i="7"/>
  <c r="BG54" i="7" s="1"/>
  <c r="BF53" i="7"/>
  <c r="BG53" i="7" s="1"/>
  <c r="BF52" i="7"/>
  <c r="BF51" i="7"/>
  <c r="BG51" i="7" s="1"/>
  <c r="BF50" i="7"/>
  <c r="BG50" i="7" s="1"/>
  <c r="BF49" i="7"/>
  <c r="BG49" i="7" s="1"/>
  <c r="BA48" i="7"/>
  <c r="AZ48" i="7"/>
  <c r="AZ49" i="7"/>
  <c r="BB49" i="7" s="1"/>
  <c r="L203" i="7"/>
  <c r="H204" i="7"/>
  <c r="L204" i="7"/>
  <c r="I195" i="7"/>
  <c r="L202" i="7"/>
  <c r="I202" i="7"/>
  <c r="L201" i="7"/>
  <c r="I201" i="7"/>
  <c r="L197" i="7"/>
  <c r="AB62" i="7"/>
  <c r="AA62" i="7"/>
  <c r="AJ58" i="7"/>
  <c r="AJ57" i="7"/>
  <c r="AJ56" i="7"/>
  <c r="AJ55" i="7"/>
  <c r="AJ54" i="7"/>
  <c r="AJ53" i="7"/>
  <c r="AJ66" i="7"/>
  <c r="AJ65" i="7"/>
  <c r="AJ64" i="7"/>
  <c r="AJ63" i="7"/>
  <c r="AJ62" i="7"/>
  <c r="AJ61" i="7"/>
  <c r="AM66" i="7"/>
  <c r="AI66" i="7"/>
  <c r="AM65" i="7"/>
  <c r="AI65" i="7"/>
  <c r="AK65" i="7" s="1"/>
  <c r="AM64" i="7"/>
  <c r="AI64" i="7"/>
  <c r="AM63" i="7"/>
  <c r="AI63" i="7"/>
  <c r="AM62" i="7"/>
  <c r="AI62" i="7"/>
  <c r="AM61" i="7"/>
  <c r="AI61" i="7"/>
  <c r="AA50" i="7"/>
  <c r="AM56" i="7"/>
  <c r="AI56" i="7"/>
  <c r="AK56" i="7" s="1"/>
  <c r="AL56" i="7" s="1"/>
  <c r="AA51" i="7"/>
  <c r="AA52" i="7"/>
  <c r="AA53" i="7"/>
  <c r="AC53" i="7" s="1"/>
  <c r="AD53" i="7" s="1"/>
  <c r="AE53" i="7" s="1"/>
  <c r="AB52" i="7" s="1"/>
  <c r="AR51" i="7"/>
  <c r="AR52" i="7" s="1"/>
  <c r="AM58" i="7"/>
  <c r="AM57" i="7"/>
  <c r="AM55" i="7"/>
  <c r="AM53" i="7"/>
  <c r="AM54" i="7"/>
  <c r="AE48" i="7"/>
  <c r="AI57" i="7"/>
  <c r="AK57" i="7" s="1"/>
  <c r="AL57" i="7" s="1"/>
  <c r="AI58" i="7"/>
  <c r="AI55" i="7"/>
  <c r="AI54" i="7"/>
  <c r="AK54" i="7" s="1"/>
  <c r="AL54" i="7" s="1"/>
  <c r="AI53" i="7"/>
  <c r="AK53" i="7" s="1"/>
  <c r="AL53" i="7" s="1"/>
  <c r="AM51" i="7"/>
  <c r="AM32" i="7"/>
  <c r="AM31" i="7"/>
  <c r="AM47" i="7"/>
  <c r="AJ47" i="7"/>
  <c r="AH47" i="7"/>
  <c r="AI47" i="7" s="1"/>
  <c r="AM46" i="7"/>
  <c r="AJ46" i="7"/>
  <c r="AH46" i="7"/>
  <c r="AI46" i="7" s="1"/>
  <c r="AK46" i="7" s="1"/>
  <c r="AL46" i="7" s="1"/>
  <c r="AO46" i="7" s="1"/>
  <c r="AP46" i="7" s="1"/>
  <c r="AM45" i="7"/>
  <c r="AJ45" i="7"/>
  <c r="AH45" i="7"/>
  <c r="AI45" i="7" s="1"/>
  <c r="AK45" i="7" s="1"/>
  <c r="AL45" i="7" s="1"/>
  <c r="AO45" i="7" s="1"/>
  <c r="AP45" i="7" s="1"/>
  <c r="AM44" i="7"/>
  <c r="AJ44" i="7"/>
  <c r="AH44" i="7"/>
  <c r="AI44" i="7" s="1"/>
  <c r="AK44" i="7" s="1"/>
  <c r="AL44" i="7" s="1"/>
  <c r="AO44" i="7" s="1"/>
  <c r="AP44" i="7" s="1"/>
  <c r="AM43" i="7"/>
  <c r="AJ43" i="7"/>
  <c r="AH43" i="7"/>
  <c r="AI43" i="7" s="1"/>
  <c r="AK43" i="7" s="1"/>
  <c r="AM42" i="7"/>
  <c r="AJ42" i="7"/>
  <c r="AH42" i="7"/>
  <c r="AI42" i="7" s="1"/>
  <c r="AK42" i="7" s="1"/>
  <c r="AL42" i="7" s="1"/>
  <c r="AJ39" i="7"/>
  <c r="AJ38" i="7"/>
  <c r="AJ37" i="7"/>
  <c r="AJ36" i="7"/>
  <c r="AJ35" i="7"/>
  <c r="AJ34" i="7"/>
  <c r="AE54" i="7"/>
  <c r="AM39" i="7"/>
  <c r="AM38" i="7"/>
  <c r="AM37" i="7"/>
  <c r="AM36" i="7"/>
  <c r="AM35" i="7"/>
  <c r="AM34" i="7"/>
  <c r="AH39" i="7"/>
  <c r="AI39" i="7" s="1"/>
  <c r="AI35" i="7"/>
  <c r="AK35" i="7" s="1"/>
  <c r="AL35" i="7" s="1"/>
  <c r="AH38" i="7"/>
  <c r="AI38" i="7" s="1"/>
  <c r="AK38" i="7" s="1"/>
  <c r="AL38" i="7" s="1"/>
  <c r="AO38" i="7" s="1"/>
  <c r="AH37" i="7"/>
  <c r="AI37" i="7" s="1"/>
  <c r="AK37" i="7" s="1"/>
  <c r="AL37" i="7" s="1"/>
  <c r="AO37" i="7" s="1"/>
  <c r="AH36" i="7"/>
  <c r="AI36" i="7" s="1"/>
  <c r="AK36" i="7" s="1"/>
  <c r="AL36" i="7" s="1"/>
  <c r="AO36" i="7" s="1"/>
  <c r="AH35" i="7"/>
  <c r="AH34" i="7"/>
  <c r="AI34" i="7" s="1"/>
  <c r="AK34" i="7" s="1"/>
  <c r="AL34" i="7" s="1"/>
  <c r="AO34" i="7" s="1"/>
  <c r="AK73" i="7"/>
  <c r="AE55" i="7"/>
  <c r="AS91" i="7"/>
  <c r="AS90" i="7"/>
  <c r="AP90" i="7"/>
  <c r="AP92" i="7" s="1"/>
  <c r="AP93" i="7" s="1"/>
  <c r="AP94" i="7" s="1"/>
  <c r="AO90" i="7"/>
  <c r="AO92" i="7" s="1"/>
  <c r="AO93" i="7" s="1"/>
  <c r="AO94" i="7" s="1"/>
  <c r="AN90" i="7"/>
  <c r="AN92" i="7" s="1"/>
  <c r="AN93" i="7" s="1"/>
  <c r="AN94" i="7" s="1"/>
  <c r="AN85" i="7"/>
  <c r="AO85" i="7" s="1"/>
  <c r="AM86" i="7"/>
  <c r="AM85" i="7"/>
  <c r="AJ87" i="7"/>
  <c r="AJ86" i="7"/>
  <c r="AM78" i="7"/>
  <c r="AP70" i="7"/>
  <c r="AP71" i="7" s="1"/>
  <c r="AP72" i="7" s="1"/>
  <c r="AP74" i="7" s="1"/>
  <c r="AP75" i="7" s="1"/>
  <c r="AM76" i="7"/>
  <c r="AN76" i="7" s="1"/>
  <c r="AT75" i="7"/>
  <c r="AK76" i="7"/>
  <c r="AL76" i="7" s="1"/>
  <c r="AL73" i="7"/>
  <c r="AR70" i="7"/>
  <c r="AR71" i="7" s="1"/>
  <c r="AR72" i="7" s="1"/>
  <c r="AQ71" i="7"/>
  <c r="AQ72" i="7" s="1"/>
  <c r="AQ74" i="7" s="1"/>
  <c r="AQ75" i="7" s="1"/>
  <c r="AQ70" i="7"/>
  <c r="AR86" i="7"/>
  <c r="AR85" i="7"/>
  <c r="AR83" i="7"/>
  <c r="AS84" i="7"/>
  <c r="AS83" i="7"/>
  <c r="AS85" i="7" s="1"/>
  <c r="AS86" i="7" s="1"/>
  <c r="AS87" i="7" s="1"/>
  <c r="AP81" i="7"/>
  <c r="AQ81" i="7" s="1"/>
  <c r="AS81" i="7" s="1"/>
  <c r="AR81" i="7"/>
  <c r="AO83" i="7"/>
  <c r="AN83" i="7"/>
  <c r="AN82" i="7"/>
  <c r="AK78" i="7"/>
  <c r="AL78" i="7" s="1"/>
  <c r="AN78" i="7" s="1"/>
  <c r="AH79" i="7"/>
  <c r="AG83" i="7"/>
  <c r="AH83" i="7" s="1"/>
  <c r="AF83" i="7"/>
  <c r="AH74" i="7"/>
  <c r="AH75" i="7" s="1"/>
  <c r="AD76" i="7"/>
  <c r="AC76" i="7"/>
  <c r="AH71" i="7"/>
  <c r="AI71" i="7" s="1"/>
  <c r="AH70" i="7"/>
  <c r="AI70" i="7" s="1"/>
  <c r="AF71" i="7"/>
  <c r="AF70" i="7"/>
  <c r="AF69" i="7"/>
  <c r="AH69" i="7"/>
  <c r="AI69" i="7" s="1"/>
  <c r="Z78" i="7"/>
  <c r="Z79" i="7"/>
  <c r="Z80" i="7" s="1"/>
  <c r="Z74" i="7"/>
  <c r="U74" i="7"/>
  <c r="U75" i="7" s="1"/>
  <c r="W75" i="7" s="1"/>
  <c r="X75" i="7" s="1"/>
  <c r="Y75" i="7" s="1"/>
  <c r="T71" i="7"/>
  <c r="T72" i="7" s="1"/>
  <c r="V72" i="7" s="1"/>
  <c r="W72" i="7" s="1"/>
  <c r="V68" i="7"/>
  <c r="W68" i="7" s="1"/>
  <c r="X68" i="7" s="1"/>
  <c r="Y69" i="7" s="1"/>
  <c r="Z69" i="7" s="1"/>
  <c r="T69" i="7"/>
  <c r="V69" i="7" s="1"/>
  <c r="W69" i="7" s="1"/>
  <c r="X69" i="7" s="1"/>
  <c r="Y68" i="7" s="1"/>
  <c r="Z68" i="7" s="1"/>
  <c r="R69" i="7"/>
  <c r="Q192" i="7"/>
  <c r="Q193" i="7" s="1"/>
  <c r="AK66" i="7" l="1"/>
  <c r="AO66" i="7" s="1"/>
  <c r="AJ69" i="7"/>
  <c r="AJ70" i="7"/>
  <c r="AK39" i="7"/>
  <c r="AL39" i="7" s="1"/>
  <c r="AO39" i="7" s="1"/>
  <c r="AK47" i="7"/>
  <c r="AK64" i="7"/>
  <c r="AL64" i="7" s="1"/>
  <c r="AK58" i="7"/>
  <c r="AL58" i="7" s="1"/>
  <c r="AX54" i="7"/>
  <c r="AY54" i="7" s="1"/>
  <c r="N39" i="13"/>
  <c r="M39" i="13"/>
  <c r="AX56" i="7"/>
  <c r="AY56" i="7" s="1"/>
  <c r="M48" i="13"/>
  <c r="N48" i="13"/>
  <c r="AK62" i="7"/>
  <c r="AO62" i="7" s="1"/>
  <c r="AP62" i="7" s="1"/>
  <c r="BB63" i="7"/>
  <c r="N57" i="13"/>
  <c r="M57" i="13"/>
  <c r="AE76" i="7"/>
  <c r="AF76" i="7" s="1"/>
  <c r="AJ71" i="7" s="1"/>
  <c r="AR84" i="7"/>
  <c r="AR87" i="7" s="1"/>
  <c r="BB65" i="7"/>
  <c r="AO35" i="7"/>
  <c r="BB62" i="7"/>
  <c r="BC62" i="7" s="1"/>
  <c r="AO42" i="7"/>
  <c r="AP42" i="7" s="1"/>
  <c r="AK63" i="7"/>
  <c r="AL65" i="7"/>
  <c r="AO65" i="7" s="1"/>
  <c r="AP65" i="7" s="1"/>
  <c r="AO76" i="7"/>
  <c r="AP76" i="7" s="1"/>
  <c r="AX66" i="7"/>
  <c r="BB66" i="7" s="1"/>
  <c r="BC66" i="7" s="1"/>
  <c r="AX61" i="7"/>
  <c r="AY61" i="7" s="1"/>
  <c r="BB61" i="7" s="1"/>
  <c r="BC61" i="7" s="1"/>
  <c r="L19" i="13"/>
  <c r="M20" i="13" s="1"/>
  <c r="BB54" i="7"/>
  <c r="BB53" i="7"/>
  <c r="BB57" i="7"/>
  <c r="BB56" i="7"/>
  <c r="BB48" i="7"/>
  <c r="BC65" i="7"/>
  <c r="BC63" i="7"/>
  <c r="BC64" i="7"/>
  <c r="AO64" i="7"/>
  <c r="AP64" i="7" s="1"/>
  <c r="AK61" i="7"/>
  <c r="AC52" i="7"/>
  <c r="AD52" i="7" s="1"/>
  <c r="AE52" i="7" s="1"/>
  <c r="AB51" i="7" s="1"/>
  <c r="AP66" i="7"/>
  <c r="AK55" i="7"/>
  <c r="AL55" i="7" s="1"/>
  <c r="AO55" i="7" s="1"/>
  <c r="AO57" i="7"/>
  <c r="AO58" i="7"/>
  <c r="AO56" i="7"/>
  <c r="AO54" i="7"/>
  <c r="AO53" i="7"/>
  <c r="AO43" i="7"/>
  <c r="AP43" i="7" s="1"/>
  <c r="AO47" i="7"/>
  <c r="AP47" i="7" s="1"/>
  <c r="AA74" i="7"/>
  <c r="W74" i="7"/>
  <c r="X74" i="7" s="1"/>
  <c r="Y74" i="7" s="1"/>
  <c r="Z75" i="7" s="1"/>
  <c r="AA75" i="7" s="1"/>
  <c r="X72" i="7"/>
  <c r="Y72" i="7" s="1"/>
  <c r="V71" i="7"/>
  <c r="N203" i="7"/>
  <c r="N204" i="7" s="1"/>
  <c r="AL63" i="7" l="1"/>
  <c r="AO63" i="7" s="1"/>
  <c r="AP63" i="7" s="1"/>
  <c r="AO61" i="7"/>
  <c r="AP61" i="7" s="1"/>
  <c r="AL61" i="7"/>
  <c r="W71" i="7"/>
  <c r="X71" i="7" s="1"/>
  <c r="Y71" i="7" s="1"/>
  <c r="Z71" i="7" s="1"/>
  <c r="AC51" i="7"/>
  <c r="AD51" i="7" s="1"/>
  <c r="AE51" i="7" s="1"/>
  <c r="AB50" i="7" s="1"/>
  <c r="AC50" i="7" s="1"/>
  <c r="AE50" i="7" s="1"/>
  <c r="M11" i="13"/>
  <c r="N11" i="13" s="1"/>
  <c r="BC67" i="7"/>
  <c r="BD67" i="7" s="1"/>
  <c r="AP48" i="7"/>
  <c r="Z72" i="7"/>
  <c r="L193" i="7"/>
  <c r="I193" i="7"/>
  <c r="I197" i="7"/>
  <c r="AP67" i="7" l="1"/>
  <c r="AQ67" i="7" s="1"/>
  <c r="X209" i="7"/>
  <c r="R193" i="7"/>
  <c r="R194" i="7" s="1"/>
  <c r="P210" i="7"/>
  <c r="P209" i="7"/>
  <c r="W78" i="9"/>
  <c r="W79" i="9" s="1"/>
  <c r="W80" i="9" s="1"/>
  <c r="N208" i="7"/>
  <c r="V212" i="7"/>
  <c r="U212" i="7"/>
  <c r="O194" i="7"/>
  <c r="S212" i="7"/>
  <c r="T212" i="7"/>
  <c r="T204" i="7"/>
  <c r="S204" i="7"/>
  <c r="P204" i="7"/>
  <c r="Q204" i="7"/>
  <c r="O204" i="7"/>
  <c r="O195" i="7"/>
  <c r="O190" i="7"/>
  <c r="O189" i="7"/>
  <c r="AA75" i="9"/>
  <c r="AA76" i="9" s="1"/>
  <c r="Y64" i="9"/>
  <c r="Y65" i="9" s="1"/>
  <c r="Y69" i="9" s="1"/>
  <c r="Y70" i="9" s="1"/>
  <c r="W59" i="9"/>
  <c r="W60" i="9" s="1"/>
  <c r="V66" i="9"/>
  <c r="V69" i="9"/>
  <c r="X66" i="9" s="1"/>
  <c r="N5" i="12"/>
  <c r="M5" i="12"/>
  <c r="L5" i="12"/>
  <c r="K5" i="12"/>
  <c r="J5" i="12"/>
  <c r="N4" i="12"/>
  <c r="M4" i="12"/>
  <c r="L4" i="12"/>
  <c r="K4" i="12"/>
  <c r="J4" i="12"/>
  <c r="J8" i="12"/>
  <c r="Q40" i="12"/>
  <c r="Q41" i="12" s="1"/>
  <c r="K35" i="12"/>
  <c r="R29" i="12"/>
  <c r="G39" i="12"/>
  <c r="F35" i="12"/>
  <c r="R35" i="12"/>
  <c r="Q35" i="12"/>
  <c r="J39" i="12"/>
  <c r="L199" i="7"/>
  <c r="I199" i="7"/>
  <c r="N199" i="7" s="1"/>
  <c r="N198" i="7"/>
  <c r="N197" i="7"/>
  <c r="N196" i="7"/>
  <c r="N195" i="7"/>
  <c r="N194" i="7"/>
  <c r="N193" i="7"/>
  <c r="M123" i="7"/>
  <c r="X67" i="9" l="1"/>
  <c r="V68" i="9"/>
  <c r="W66" i="9" s="1"/>
  <c r="W67" i="9" s="1"/>
  <c r="Y71" i="9"/>
  <c r="Z70" i="9"/>
  <c r="Z71" i="9" s="1"/>
  <c r="R204" i="7"/>
  <c r="E35" i="12"/>
  <c r="P35" i="12"/>
  <c r="F39" i="12"/>
  <c r="D35" i="12"/>
  <c r="C35" i="12"/>
  <c r="N35" i="12"/>
  <c r="E39" i="12"/>
  <c r="M35" i="12"/>
  <c r="D39" i="12"/>
  <c r="N39" i="12"/>
  <c r="L35" i="12"/>
  <c r="C39" i="12"/>
  <c r="M39" i="12"/>
  <c r="T35" i="12"/>
  <c r="L39" i="12"/>
  <c r="J35" i="12"/>
  <c r="S35" i="12"/>
  <c r="K39" i="12"/>
  <c r="G35" i="12"/>
  <c r="N45" i="9"/>
  <c r="M40" i="9"/>
  <c r="M41" i="9" s="1"/>
  <c r="L35" i="9"/>
  <c r="M35" i="9" s="1"/>
  <c r="L34" i="9"/>
  <c r="M34" i="9" s="1"/>
  <c r="L33" i="9"/>
  <c r="M33" i="9" s="1"/>
  <c r="L32" i="9"/>
  <c r="M32" i="9" s="1"/>
  <c r="AJ158" i="8"/>
  <c r="AI158" i="8"/>
  <c r="AH158" i="8"/>
  <c r="AG158" i="8"/>
  <c r="AF158" i="8"/>
  <c r="AJ157" i="8"/>
  <c r="AH157" i="8"/>
  <c r="AG157" i="8"/>
  <c r="AC175" i="8"/>
  <c r="AB175" i="8"/>
  <c r="Y174" i="8"/>
  <c r="Y167" i="8"/>
  <c r="Y175" i="8" s="1"/>
  <c r="Y176" i="8" s="1"/>
  <c r="AA175" i="8"/>
  <c r="AA167" i="8"/>
  <c r="Z167" i="8"/>
  <c r="Z175" i="8" s="1"/>
  <c r="Y155" i="8"/>
  <c r="V157" i="8"/>
  <c r="V154" i="8"/>
  <c r="V156" i="8"/>
  <c r="V155" i="8"/>
  <c r="AB157" i="8"/>
  <c r="AI157" i="8" s="1"/>
  <c r="AC155" i="8"/>
  <c r="AC163" i="8" s="1"/>
  <c r="AB155" i="8"/>
  <c r="AI155" i="8" s="1"/>
  <c r="AA155" i="8"/>
  <c r="AA163" i="8" s="1"/>
  <c r="Z155" i="8"/>
  <c r="Z147" i="8"/>
  <c r="Z153" i="8" s="1"/>
  <c r="Z157" i="8"/>
  <c r="Y157" i="8"/>
  <c r="AF157" i="8" s="1"/>
  <c r="AF162" i="8" s="1"/>
  <c r="AA147" i="8"/>
  <c r="AA153" i="8" s="1"/>
  <c r="Y153" i="8"/>
  <c r="Z137" i="8"/>
  <c r="Z143" i="8" s="1"/>
  <c r="AA137" i="8"/>
  <c r="AA143" i="8" s="1"/>
  <c r="Y143" i="8"/>
  <c r="Y163" i="8" l="1"/>
  <c r="AH155" i="8"/>
  <c r="AB163" i="8"/>
  <c r="AF155" i="8"/>
  <c r="AF163" i="8" s="1"/>
  <c r="AJ155" i="8"/>
  <c r="AJ163" i="8" s="1"/>
  <c r="W68" i="9"/>
  <c r="W69" i="9" s="1"/>
  <c r="W70" i="9" s="1"/>
  <c r="W71" i="9" s="1"/>
  <c r="Z163" i="8"/>
  <c r="AA164" i="8" s="1"/>
  <c r="AG155" i="8"/>
  <c r="AG163" i="8" s="1"/>
  <c r="AH164" i="8" s="1"/>
  <c r="Y72" i="9"/>
  <c r="Y73" i="9" s="1"/>
  <c r="Y74" i="9" s="1"/>
  <c r="Y75" i="9" s="1"/>
  <c r="Y77" i="9" s="1"/>
  <c r="M36" i="9"/>
  <c r="M37" i="9" s="1"/>
  <c r="M38" i="9" s="1"/>
  <c r="N41" i="9"/>
  <c r="N42" i="9" s="1"/>
  <c r="M42" i="9"/>
  <c r="N40" i="9"/>
  <c r="AI163" i="8"/>
  <c r="AJ164" i="8" s="1"/>
  <c r="AH163" i="8"/>
  <c r="AA176" i="8"/>
  <c r="AC176" i="8"/>
  <c r="AC164" i="8"/>
  <c r="L123" i="7" l="1"/>
  <c r="L131" i="7"/>
  <c r="L132" i="7" s="1"/>
  <c r="L133" i="7" s="1"/>
  <c r="L134" i="7" s="1"/>
  <c r="L135" i="7" s="1"/>
  <c r="L136" i="7" s="1"/>
  <c r="L137" i="7" s="1"/>
  <c r="L138" i="7" s="1"/>
  <c r="L139" i="7" s="1"/>
  <c r="O142" i="7"/>
  <c r="P142" i="7" s="1"/>
  <c r="O130" i="7"/>
  <c r="P130" i="7" s="1"/>
  <c r="N131" i="7"/>
  <c r="O131" i="7" s="1"/>
  <c r="P131" i="7" s="1"/>
  <c r="M68" i="7"/>
  <c r="M69" i="7" s="1"/>
  <c r="I73" i="7"/>
  <c r="N132" i="7" l="1"/>
  <c r="O132" i="7" s="1"/>
  <c r="P132" i="7" s="1"/>
  <c r="L145" i="7"/>
  <c r="Q41" i="11"/>
  <c r="Q40" i="11"/>
  <c r="R29" i="11"/>
  <c r="N133" i="7" l="1"/>
  <c r="O144" i="7"/>
  <c r="P144" i="7" s="1"/>
  <c r="O133" i="7"/>
  <c r="P133" i="7" s="1"/>
  <c r="O123" i="7"/>
  <c r="P123" i="7" s="1"/>
  <c r="K39" i="11"/>
  <c r="M35" i="11"/>
  <c r="G39" i="11"/>
  <c r="C39" i="11"/>
  <c r="F35" i="11"/>
  <c r="D35" i="11"/>
  <c r="T20" i="11"/>
  <c r="N39" i="11" s="1"/>
  <c r="S20" i="11"/>
  <c r="F39" i="11" s="1"/>
  <c r="R20" i="11"/>
  <c r="L35" i="11" s="1"/>
  <c r="Q20" i="11"/>
  <c r="Q35" i="11" s="1"/>
  <c r="P20" i="11"/>
  <c r="J39" i="11" s="1"/>
  <c r="N20" i="11"/>
  <c r="M20" i="11"/>
  <c r="L20" i="11"/>
  <c r="K20" i="11"/>
  <c r="J20" i="11"/>
  <c r="T152" i="7"/>
  <c r="T151" i="7"/>
  <c r="Z121" i="7"/>
  <c r="Y121" i="7"/>
  <c r="Y122" i="7" s="1"/>
  <c r="W125" i="7"/>
  <c r="AI113" i="7"/>
  <c r="AI114" i="7" s="1"/>
  <c r="AH113" i="7"/>
  <c r="AH114" i="7" s="1"/>
  <c r="V116" i="7"/>
  <c r="V117" i="7" s="1"/>
  <c r="X117" i="7"/>
  <c r="W118" i="7" s="1"/>
  <c r="Z116" i="7"/>
  <c r="AB116" i="7"/>
  <c r="AB117" i="7" s="1"/>
  <c r="AD116" i="7"/>
  <c r="AD117" i="7" s="1"/>
  <c r="AF116" i="7"/>
  <c r="AF117" i="7" s="1"/>
  <c r="Z117" i="7"/>
  <c r="M136" i="7"/>
  <c r="AE117" i="7"/>
  <c r="AC117" i="7"/>
  <c r="AA117" i="7"/>
  <c r="Y117" i="7"/>
  <c r="U117" i="7"/>
  <c r="N127" i="7"/>
  <c r="V99" i="7"/>
  <c r="W91" i="7"/>
  <c r="V91" i="7"/>
  <c r="L24" i="8"/>
  <c r="L23" i="8"/>
  <c r="J20" i="8"/>
  <c r="E8" i="8"/>
  <c r="E13" i="8" s="1"/>
  <c r="E14" i="8" s="1"/>
  <c r="D8" i="8"/>
  <c r="D13" i="8"/>
  <c r="D14" i="8" s="1"/>
  <c r="AB125" i="8"/>
  <c r="AB131" i="8" s="1"/>
  <c r="AA125" i="8"/>
  <c r="AA131" i="8" s="1"/>
  <c r="AC128" i="8"/>
  <c r="N116" i="8"/>
  <c r="N122" i="8" s="1"/>
  <c r="R127" i="7"/>
  <c r="W109" i="7"/>
  <c r="W108" i="7"/>
  <c r="AA123" i="7"/>
  <c r="Z124" i="7"/>
  <c r="AA124" i="7" s="1"/>
  <c r="Z123" i="7"/>
  <c r="N24" i="10"/>
  <c r="O25" i="10" s="1"/>
  <c r="O22" i="10"/>
  <c r="N22" i="10"/>
  <c r="O21" i="10"/>
  <c r="N21" i="10"/>
  <c r="O20" i="10"/>
  <c r="N20" i="10"/>
  <c r="O19" i="10"/>
  <c r="N19" i="10"/>
  <c r="O18" i="10"/>
  <c r="N18" i="10"/>
  <c r="O17" i="10"/>
  <c r="N17" i="10"/>
  <c r="O16" i="10"/>
  <c r="N16" i="10"/>
  <c r="O15" i="10"/>
  <c r="N15" i="10"/>
  <c r="O14" i="10"/>
  <c r="N14" i="10"/>
  <c r="O13" i="10"/>
  <c r="N13" i="10"/>
  <c r="O12" i="10"/>
  <c r="N12" i="10"/>
  <c r="O11" i="10"/>
  <c r="N11" i="10"/>
  <c r="O10" i="10"/>
  <c r="N10" i="10"/>
  <c r="O9" i="10"/>
  <c r="N9" i="10"/>
  <c r="O8" i="10"/>
  <c r="N8" i="10"/>
  <c r="O7" i="10"/>
  <c r="N7" i="10"/>
  <c r="O6" i="10"/>
  <c r="O5" i="10"/>
  <c r="O4" i="10"/>
  <c r="O3" i="10"/>
  <c r="O2" i="10"/>
  <c r="O24" i="10" s="1"/>
  <c r="N6" i="10"/>
  <c r="N5" i="10"/>
  <c r="N4" i="10"/>
  <c r="N3" i="10"/>
  <c r="N2" i="10"/>
  <c r="A10" i="10"/>
  <c r="P127" i="7"/>
  <c r="E35" i="11" l="1"/>
  <c r="D39" i="11"/>
  <c r="J35" i="11"/>
  <c r="N35" i="11"/>
  <c r="S35" i="11"/>
  <c r="L39" i="11"/>
  <c r="E39" i="11"/>
  <c r="K35" i="11"/>
  <c r="P35" i="11"/>
  <c r="T35" i="11"/>
  <c r="M39" i="11"/>
  <c r="R35" i="11"/>
  <c r="A11" i="10"/>
  <c r="L10" i="10"/>
  <c r="C35" i="11"/>
  <c r="G35" i="11"/>
  <c r="W119" i="7"/>
  <c r="N134" i="7"/>
  <c r="N135" i="7" s="1"/>
  <c r="AE118" i="7"/>
  <c r="T121" i="7"/>
  <c r="U121" i="7" s="1"/>
  <c r="AC118" i="7"/>
  <c r="U118" i="7"/>
  <c r="AA118" i="7"/>
  <c r="Y118" i="7"/>
  <c r="Z125" i="8"/>
  <c r="Z131" i="8" s="1"/>
  <c r="W125" i="8"/>
  <c r="W131" i="8" s="1"/>
  <c r="V125" i="8"/>
  <c r="V131" i="8" s="1"/>
  <c r="Y125" i="8"/>
  <c r="Y131" i="8" s="1"/>
  <c r="Y132" i="8" s="1"/>
  <c r="X125" i="8"/>
  <c r="X131" i="8" s="1"/>
  <c r="S127" i="7"/>
  <c r="P121" i="7"/>
  <c r="P122" i="7" s="1"/>
  <c r="F185" i="7"/>
  <c r="F111" i="7"/>
  <c r="A12" i="10" l="1"/>
  <c r="L11" i="10"/>
  <c r="M141" i="7"/>
  <c r="O134" i="7"/>
  <c r="P134" i="7" s="1"/>
  <c r="O135" i="7"/>
  <c r="P135" i="7" s="1"/>
  <c r="N136" i="7"/>
  <c r="U120" i="7"/>
  <c r="Y116" i="8"/>
  <c r="Y121" i="8" s="1"/>
  <c r="X116" i="8"/>
  <c r="X121" i="8" s="1"/>
  <c r="W116" i="8"/>
  <c r="W121" i="8" s="1"/>
  <c r="V116" i="8"/>
  <c r="V121" i="8" s="1"/>
  <c r="S128" i="7"/>
  <c r="AB176" i="7"/>
  <c r="AB177" i="7" s="1"/>
  <c r="AB175" i="7"/>
  <c r="T148" i="7"/>
  <c r="T146" i="7"/>
  <c r="T147" i="7" s="1"/>
  <c r="U138" i="8"/>
  <c r="V138" i="8" s="1"/>
  <c r="T135" i="8"/>
  <c r="T134" i="8"/>
  <c r="T127" i="8"/>
  <c r="Z208" i="7"/>
  <c r="Z209" i="7" s="1"/>
  <c r="X211" i="7"/>
  <c r="X212" i="7" s="1"/>
  <c r="Q133" i="8"/>
  <c r="P133" i="8"/>
  <c r="P128" i="8"/>
  <c r="S122" i="8"/>
  <c r="R122" i="8"/>
  <c r="Q122" i="8"/>
  <c r="P122" i="8"/>
  <c r="Q128" i="7"/>
  <c r="P124" i="8" l="1"/>
  <c r="T136" i="8"/>
  <c r="A13" i="10"/>
  <c r="L12" i="10"/>
  <c r="O136" i="7"/>
  <c r="P136" i="7" s="1"/>
  <c r="N137" i="7"/>
  <c r="R124" i="8"/>
  <c r="A14" i="10" l="1"/>
  <c r="L13" i="10"/>
  <c r="O137" i="7"/>
  <c r="P137" i="7" s="1"/>
  <c r="N138" i="7"/>
  <c r="R145" i="7"/>
  <c r="AA204" i="7"/>
  <c r="AC189" i="7"/>
  <c r="AC195" i="7"/>
  <c r="AC199" i="7"/>
  <c r="AC196" i="7"/>
  <c r="AD186" i="7"/>
  <c r="AD187" i="7" s="1"/>
  <c r="AD188" i="7" s="1"/>
  <c r="AD189" i="7" s="1"/>
  <c r="AD190" i="7" s="1"/>
  <c r="AD191" i="7" s="1"/>
  <c r="AD192" i="7" s="1"/>
  <c r="AD193" i="7" s="1"/>
  <c r="AD194" i="7" s="1"/>
  <c r="AD195" i="7" s="1"/>
  <c r="AD196" i="7" s="1"/>
  <c r="AD197" i="7" s="1"/>
  <c r="AD198" i="7" s="1"/>
  <c r="AD199" i="7" s="1"/>
  <c r="AD200" i="7" s="1"/>
  <c r="AD201" i="7" s="1"/>
  <c r="X186" i="7"/>
  <c r="X187" i="7" s="1"/>
  <c r="X188" i="7" s="1"/>
  <c r="X189" i="7" s="1"/>
  <c r="X190" i="7" s="1"/>
  <c r="X191" i="7" s="1"/>
  <c r="X192" i="7" s="1"/>
  <c r="X193" i="7" s="1"/>
  <c r="X194" i="7" s="1"/>
  <c r="X195" i="7" s="1"/>
  <c r="X196" i="7" s="1"/>
  <c r="X197" i="7" s="1"/>
  <c r="X198" i="7" s="1"/>
  <c r="X199" i="7" s="1"/>
  <c r="X200" i="7" s="1"/>
  <c r="X201" i="7" s="1"/>
  <c r="W199" i="7"/>
  <c r="W196" i="7"/>
  <c r="Q186" i="7"/>
  <c r="Q185" i="7"/>
  <c r="O182" i="7"/>
  <c r="Z180" i="7"/>
  <c r="Z179" i="7"/>
  <c r="Z178" i="7"/>
  <c r="Z177" i="7"/>
  <c r="Z176" i="7"/>
  <c r="Z172" i="7"/>
  <c r="Z171" i="7"/>
  <c r="Z170" i="7"/>
  <c r="Z169" i="7"/>
  <c r="Z168" i="7"/>
  <c r="N166" i="7"/>
  <c r="O117" i="7"/>
  <c r="O116" i="7"/>
  <c r="P128" i="7"/>
  <c r="A15" i="10" l="1"/>
  <c r="L14" i="10"/>
  <c r="O138" i="7"/>
  <c r="P138" i="7" s="1"/>
  <c r="N139" i="7"/>
  <c r="M128" i="7"/>
  <c r="Y134" i="7"/>
  <c r="Y135" i="7" s="1"/>
  <c r="Y136" i="7" s="1"/>
  <c r="Y137" i="7" s="1"/>
  <c r="Y138" i="7" s="1"/>
  <c r="Y139" i="7" s="1"/>
  <c r="Y140" i="7" s="1"/>
  <c r="Y141" i="7" s="1"/>
  <c r="AE134" i="7"/>
  <c r="AE135" i="7" s="1"/>
  <c r="AE136" i="7" s="1"/>
  <c r="AE137" i="7" s="1"/>
  <c r="AE138" i="7" s="1"/>
  <c r="AE139" i="7" s="1"/>
  <c r="AE140" i="7" s="1"/>
  <c r="AE141" i="7" s="1"/>
  <c r="AD134" i="7"/>
  <c r="AC134" i="7"/>
  <c r="AC135" i="7" s="1"/>
  <c r="AC136" i="7" s="1"/>
  <c r="AC137" i="7" s="1"/>
  <c r="AC138" i="7" s="1"/>
  <c r="AC139" i="7" s="1"/>
  <c r="AC140" i="7" s="1"/>
  <c r="AC141" i="7" s="1"/>
  <c r="AB134" i="7"/>
  <c r="AB135" i="7" s="1"/>
  <c r="AB136" i="7" s="1"/>
  <c r="AB137" i="7" s="1"/>
  <c r="AB138" i="7" s="1"/>
  <c r="AB139" i="7" s="1"/>
  <c r="AB140" i="7" s="1"/>
  <c r="AB141" i="7" s="1"/>
  <c r="AA134" i="7"/>
  <c r="AA135" i="7" s="1"/>
  <c r="AA136" i="7" s="1"/>
  <c r="AA137" i="7" s="1"/>
  <c r="AA138" i="7" s="1"/>
  <c r="AA139" i="7" s="1"/>
  <c r="AA140" i="7" s="1"/>
  <c r="AA141" i="7" s="1"/>
  <c r="Z134" i="7"/>
  <c r="V138" i="7"/>
  <c r="V135" i="7"/>
  <c r="V132" i="7"/>
  <c r="V129" i="7"/>
  <c r="R128" i="7"/>
  <c r="Q129" i="7" s="1"/>
  <c r="Q149" i="7" s="1"/>
  <c r="O128" i="7"/>
  <c r="O129" i="7" s="1"/>
  <c r="N128" i="7"/>
  <c r="O103" i="8"/>
  <c r="O105" i="8" s="1"/>
  <c r="Q102" i="8"/>
  <c r="R102" i="8" s="1"/>
  <c r="M12" i="8"/>
  <c r="O12" i="8"/>
  <c r="O17" i="8" s="1"/>
  <c r="O18" i="8" s="1"/>
  <c r="O19" i="8" s="1"/>
  <c r="P12" i="8"/>
  <c r="C13" i="8"/>
  <c r="C14" i="8" s="1"/>
  <c r="F13" i="8"/>
  <c r="F14" i="8" s="1"/>
  <c r="P14" i="8"/>
  <c r="S14" i="8"/>
  <c r="S16" i="8" s="1"/>
  <c r="S17" i="8" s="1"/>
  <c r="S18" i="8" s="1"/>
  <c r="I15" i="8"/>
  <c r="I16" i="8" s="1"/>
  <c r="I17" i="8" s="1"/>
  <c r="L15" i="8"/>
  <c r="L16" i="8" s="1"/>
  <c r="L17" i="8" s="1"/>
  <c r="M15" i="8"/>
  <c r="M16" i="8" s="1"/>
  <c r="M17" i="8" s="1"/>
  <c r="R16" i="8"/>
  <c r="R17" i="8" s="1"/>
  <c r="R18" i="8" s="1"/>
  <c r="F25" i="8"/>
  <c r="F26" i="8" s="1"/>
  <c r="F36" i="8"/>
  <c r="F37" i="8" s="1"/>
  <c r="P47" i="8"/>
  <c r="F48" i="8"/>
  <c r="F51" i="8" s="1"/>
  <c r="F52" i="8" s="1"/>
  <c r="P50" i="8"/>
  <c r="C51" i="8"/>
  <c r="C52" i="8" s="1"/>
  <c r="J52" i="8"/>
  <c r="J53" i="8" s="1"/>
  <c r="J54" i="8" s="1"/>
  <c r="J55" i="8" s="1"/>
  <c r="P53" i="8"/>
  <c r="P56" i="8"/>
  <c r="N57" i="8"/>
  <c r="P59" i="8"/>
  <c r="P62" i="8"/>
  <c r="P65" i="8"/>
  <c r="C68" i="8"/>
  <c r="C69" i="8" s="1"/>
  <c r="F68" i="8"/>
  <c r="F69" i="8" s="1"/>
  <c r="P68" i="8"/>
  <c r="J69" i="8"/>
  <c r="J70" i="8" s="1"/>
  <c r="J71" i="8" s="1"/>
  <c r="J72" i="8" s="1"/>
  <c r="J73" i="8" s="1"/>
  <c r="P71" i="8"/>
  <c r="K73" i="8"/>
  <c r="N75" i="8"/>
  <c r="A80" i="8"/>
  <c r="P80" i="8"/>
  <c r="E87" i="8"/>
  <c r="F87" i="8"/>
  <c r="G87" i="8"/>
  <c r="H87" i="8"/>
  <c r="I87" i="8"/>
  <c r="J87" i="8"/>
  <c r="J89" i="8" s="1"/>
  <c r="E88" i="8"/>
  <c r="E90" i="8" s="1"/>
  <c r="F88" i="8"/>
  <c r="G88" i="8"/>
  <c r="H88" i="8"/>
  <c r="H90" i="8" s="1"/>
  <c r="I88" i="8"/>
  <c r="J88" i="8"/>
  <c r="F92" i="8"/>
  <c r="G92" i="8"/>
  <c r="I93" i="8"/>
  <c r="E95" i="8"/>
  <c r="E96" i="8"/>
  <c r="H96" i="8"/>
  <c r="F102" i="8"/>
  <c r="H102" i="8"/>
  <c r="J102" i="8"/>
  <c r="L102" i="8"/>
  <c r="F103" i="8"/>
  <c r="H103" i="8"/>
  <c r="J103" i="8"/>
  <c r="L103" i="8"/>
  <c r="F104" i="8"/>
  <c r="H104" i="8"/>
  <c r="J104" i="8"/>
  <c r="L104" i="8"/>
  <c r="F105" i="8"/>
  <c r="H105" i="8"/>
  <c r="J105" i="8"/>
  <c r="L105" i="8"/>
  <c r="D106" i="8"/>
  <c r="F106" i="8"/>
  <c r="H106" i="8"/>
  <c r="J106" i="8"/>
  <c r="L106" i="8"/>
  <c r="D107" i="8"/>
  <c r="F107" i="8"/>
  <c r="J107" i="8"/>
  <c r="L107" i="8"/>
  <c r="D108" i="8"/>
  <c r="F108" i="8"/>
  <c r="H108" i="8"/>
  <c r="J108" i="8"/>
  <c r="L108" i="8"/>
  <c r="F117" i="8"/>
  <c r="F122" i="8" s="1"/>
  <c r="F125" i="8"/>
  <c r="F132" i="8" s="1"/>
  <c r="F135" i="8" s="1"/>
  <c r="G125" i="8"/>
  <c r="G132" i="8" s="1"/>
  <c r="I127" i="8"/>
  <c r="I132" i="8" s="1"/>
  <c r="I135" i="8" s="1"/>
  <c r="L127" i="8"/>
  <c r="L132" i="8" s="1"/>
  <c r="L135" i="8" s="1"/>
  <c r="F142" i="8"/>
  <c r="G142" i="8"/>
  <c r="F143" i="8"/>
  <c r="G143" i="8"/>
  <c r="O143" i="8"/>
  <c r="Q143" i="8" s="1"/>
  <c r="F144" i="8"/>
  <c r="G144" i="8"/>
  <c r="O144" i="8"/>
  <c r="Q144" i="8" s="1"/>
  <c r="L145" i="8"/>
  <c r="O145" i="8"/>
  <c r="Q145" i="8" s="1"/>
  <c r="O146" i="8"/>
  <c r="Q146" i="8" s="1"/>
  <c r="O147" i="8"/>
  <c r="Q147" i="8" s="1"/>
  <c r="O148" i="8"/>
  <c r="Q148" i="8" s="1"/>
  <c r="O149" i="8"/>
  <c r="Q149" i="8" s="1"/>
  <c r="G150" i="8"/>
  <c r="O150" i="8"/>
  <c r="Q150" i="8" s="1"/>
  <c r="O151" i="8"/>
  <c r="Q151" i="8" s="1"/>
  <c r="O152" i="8"/>
  <c r="Q152" i="8" s="1"/>
  <c r="O153" i="8"/>
  <c r="Q153" i="8" s="1"/>
  <c r="O154" i="8"/>
  <c r="Q154" i="8" s="1"/>
  <c r="O155" i="8"/>
  <c r="Q155" i="8" s="1"/>
  <c r="O156" i="8"/>
  <c r="Q156" i="8" s="1"/>
  <c r="O157" i="8"/>
  <c r="Q157" i="8" s="1"/>
  <c r="O158" i="8"/>
  <c r="Q158" i="8" s="1"/>
  <c r="O159" i="8"/>
  <c r="Q159" i="8" s="1"/>
  <c r="O160" i="8"/>
  <c r="Q160" i="8" s="1"/>
  <c r="C161" i="8"/>
  <c r="O161" i="8"/>
  <c r="Q161" i="8" s="1"/>
  <c r="C162" i="8"/>
  <c r="O162" i="8"/>
  <c r="Q162" i="8" s="1"/>
  <c r="C163" i="8"/>
  <c r="O163" i="8"/>
  <c r="Q163" i="8" s="1"/>
  <c r="C164" i="8"/>
  <c r="O164" i="8"/>
  <c r="Q164" i="8" s="1"/>
  <c r="C165" i="8"/>
  <c r="F165" i="8"/>
  <c r="F167" i="8" s="1"/>
  <c r="G165" i="8"/>
  <c r="G167" i="8" s="1"/>
  <c r="O165" i="8"/>
  <c r="Q165" i="8" s="1"/>
  <c r="O166" i="8"/>
  <c r="Q166" i="8" s="1"/>
  <c r="O167" i="8"/>
  <c r="Q167" i="8" s="1"/>
  <c r="O168" i="8"/>
  <c r="Q168" i="8" s="1"/>
  <c r="O169" i="8"/>
  <c r="Q169" i="8" s="1"/>
  <c r="O170" i="8"/>
  <c r="Q170" i="8" s="1"/>
  <c r="O171" i="8"/>
  <c r="Q171" i="8" s="1"/>
  <c r="G172" i="8"/>
  <c r="I172" i="8"/>
  <c r="O172" i="8"/>
  <c r="Q172" i="8" s="1"/>
  <c r="B176" i="8"/>
  <c r="B188" i="8" s="1"/>
  <c r="D176" i="8"/>
  <c r="D182" i="8"/>
  <c r="B192" i="8"/>
  <c r="D192" i="8"/>
  <c r="D204" i="8" s="1"/>
  <c r="B198" i="8"/>
  <c r="D198" i="8"/>
  <c r="Q107" i="6"/>
  <c r="Q108" i="6" s="1"/>
  <c r="G90" i="8" l="1"/>
  <c r="P17" i="8"/>
  <c r="P18" i="8" s="1"/>
  <c r="P19" i="8" s="1"/>
  <c r="A16" i="10"/>
  <c r="L15" i="10"/>
  <c r="Z135" i="7"/>
  <c r="Z136" i="7" s="1"/>
  <c r="Z137" i="7" s="1"/>
  <c r="Z138" i="7" s="1"/>
  <c r="Z139" i="7" s="1"/>
  <c r="Z140" i="7" s="1"/>
  <c r="Z141" i="7" s="1"/>
  <c r="O139" i="7"/>
  <c r="P139" i="7" s="1"/>
  <c r="N140" i="7"/>
  <c r="M129" i="7"/>
  <c r="F148" i="8"/>
  <c r="F150" i="8" s="1"/>
  <c r="F89" i="8"/>
  <c r="D188" i="8"/>
  <c r="C208" i="8" s="1"/>
  <c r="E89" i="8"/>
  <c r="I90" i="8"/>
  <c r="B204" i="8"/>
  <c r="J90" i="8"/>
  <c r="H89" i="8"/>
  <c r="O104" i="8"/>
  <c r="Q103" i="8"/>
  <c r="I89" i="8"/>
  <c r="O108" i="8"/>
  <c r="O107" i="8"/>
  <c r="F90" i="8"/>
  <c r="O106" i="8"/>
  <c r="G89" i="8"/>
  <c r="Y142" i="7"/>
  <c r="AD135" i="7"/>
  <c r="AD136" i="7" s="1"/>
  <c r="AD137" i="7" s="1"/>
  <c r="AD138" i="7" s="1"/>
  <c r="AD139" i="7" s="1"/>
  <c r="AD140" i="7" s="1"/>
  <c r="AD141" i="7" s="1"/>
  <c r="AC142" i="7"/>
  <c r="AE142" i="7"/>
  <c r="AB142" i="7"/>
  <c r="AA142" i="7"/>
  <c r="R237" i="7"/>
  <c r="R238" i="7" s="1"/>
  <c r="R239" i="7" s="1"/>
  <c r="R234" i="7"/>
  <c r="R233" i="7"/>
  <c r="T226" i="7"/>
  <c r="U225" i="7"/>
  <c r="V225" i="7" s="1"/>
  <c r="U224" i="7"/>
  <c r="V224" i="7" s="1"/>
  <c r="U223" i="7"/>
  <c r="V223" i="7" s="1"/>
  <c r="U222" i="7"/>
  <c r="V222" i="7" s="1"/>
  <c r="U221" i="7"/>
  <c r="U220" i="7"/>
  <c r="V220" i="7" s="1"/>
  <c r="Q229" i="7"/>
  <c r="O229" i="7"/>
  <c r="L220" i="7"/>
  <c r="L221" i="7" s="1"/>
  <c r="L222" i="7" s="1"/>
  <c r="L223" i="7" s="1"/>
  <c r="L224" i="7" s="1"/>
  <c r="L225" i="7" s="1"/>
  <c r="L226" i="7" s="1"/>
  <c r="L227" i="7" s="1"/>
  <c r="L228" i="7" s="1"/>
  <c r="L229" i="7" s="1"/>
  <c r="N216" i="7"/>
  <c r="N215" i="7"/>
  <c r="O215" i="7" s="1"/>
  <c r="M216" i="7"/>
  <c r="O210" i="7"/>
  <c r="O211" i="7" s="1"/>
  <c r="N210" i="7"/>
  <c r="N211" i="7" s="1"/>
  <c r="J178" i="7"/>
  <c r="J177" i="7"/>
  <c r="G179" i="7"/>
  <c r="G178" i="7"/>
  <c r="P178" i="7"/>
  <c r="P177" i="7"/>
  <c r="A17" i="10" l="1"/>
  <c r="L16" i="10"/>
  <c r="O216" i="7"/>
  <c r="U226" i="7"/>
  <c r="V228" i="7" s="1"/>
  <c r="Z142" i="7"/>
  <c r="O140" i="7"/>
  <c r="P140" i="7" s="1"/>
  <c r="N141" i="7"/>
  <c r="O141" i="7" s="1"/>
  <c r="P141" i="7" s="1"/>
  <c r="L230" i="7"/>
  <c r="M229" i="7"/>
  <c r="V221" i="7"/>
  <c r="V226" i="7" s="1"/>
  <c r="S238" i="7"/>
  <c r="C209" i="8"/>
  <c r="R103" i="8"/>
  <c r="Q104" i="8"/>
  <c r="AD142" i="7"/>
  <c r="M179" i="7"/>
  <c r="R157" i="7"/>
  <c r="R158" i="7" s="1"/>
  <c r="Q157" i="7"/>
  <c r="Q156" i="7"/>
  <c r="O173" i="7"/>
  <c r="A18" i="10" l="1"/>
  <c r="L17" i="10"/>
  <c r="M230" i="7"/>
  <c r="L231" i="7"/>
  <c r="R104" i="8"/>
  <c r="Q105" i="8"/>
  <c r="K149" i="7"/>
  <c r="O153" i="7"/>
  <c r="L151" i="7"/>
  <c r="L152" i="7" s="1"/>
  <c r="G153" i="7"/>
  <c r="H153" i="7" s="1"/>
  <c r="G147" i="7"/>
  <c r="H147" i="7" s="1"/>
  <c r="G142" i="7"/>
  <c r="H142" i="7" s="1"/>
  <c r="P147" i="7"/>
  <c r="M144" i="7"/>
  <c r="C136" i="7"/>
  <c r="G136" i="7" s="1"/>
  <c r="H136" i="7" s="1"/>
  <c r="J126" i="7"/>
  <c r="D87" i="7"/>
  <c r="D88" i="7" s="1"/>
  <c r="D86" i="7"/>
  <c r="G85" i="7"/>
  <c r="N115" i="7"/>
  <c r="L119" i="7"/>
  <c r="M119" i="7"/>
  <c r="I116" i="7"/>
  <c r="J117" i="7" s="1"/>
  <c r="G116" i="7"/>
  <c r="E102" i="7"/>
  <c r="E103" i="7" s="1"/>
  <c r="E104" i="7" s="1"/>
  <c r="E101" i="7"/>
  <c r="J134" i="7"/>
  <c r="O106" i="7"/>
  <c r="O107" i="7" s="1"/>
  <c r="J109" i="7"/>
  <c r="J108" i="7"/>
  <c r="I109" i="7"/>
  <c r="I108" i="7"/>
  <c r="I107" i="7"/>
  <c r="H102" i="7"/>
  <c r="O99" i="7"/>
  <c r="L99" i="7"/>
  <c r="J99" i="7"/>
  <c r="K92" i="7"/>
  <c r="J93" i="7"/>
  <c r="J94" i="7" s="1"/>
  <c r="J82" i="7"/>
  <c r="J83" i="7" s="1"/>
  <c r="A74" i="7"/>
  <c r="A75" i="7" s="1"/>
  <c r="A76" i="7" s="1"/>
  <c r="P79" i="7"/>
  <c r="P80" i="7" s="1"/>
  <c r="P81" i="7" s="1"/>
  <c r="E82" i="7"/>
  <c r="D80" i="7"/>
  <c r="D81" i="7" s="1"/>
  <c r="D82" i="7" s="1"/>
  <c r="C74" i="7"/>
  <c r="C75" i="7" s="1"/>
  <c r="C76" i="7" s="1"/>
  <c r="D73" i="7"/>
  <c r="D74" i="7"/>
  <c r="I65" i="7"/>
  <c r="G69" i="7"/>
  <c r="G70" i="7" s="1"/>
  <c r="G67" i="7"/>
  <c r="G66" i="7"/>
  <c r="G79" i="7"/>
  <c r="G80" i="7" s="1"/>
  <c r="G84" i="7"/>
  <c r="K84" i="7"/>
  <c r="N83" i="7"/>
  <c r="N84" i="7" s="1"/>
  <c r="N85" i="7" s="1"/>
  <c r="M105" i="7"/>
  <c r="L105" i="7"/>
  <c r="G96" i="7"/>
  <c r="C15" i="7"/>
  <c r="C14" i="7"/>
  <c r="L20" i="7"/>
  <c r="E18" i="7"/>
  <c r="E19" i="7" s="1"/>
  <c r="E17" i="7"/>
  <c r="F14" i="7"/>
  <c r="F15" i="7" s="1"/>
  <c r="F13" i="7"/>
  <c r="M121" i="6"/>
  <c r="M120" i="6"/>
  <c r="M119" i="6"/>
  <c r="N121" i="6"/>
  <c r="N120" i="6"/>
  <c r="N119" i="6"/>
  <c r="C157" i="6"/>
  <c r="C158" i="6" s="1"/>
  <c r="C159" i="6" s="1"/>
  <c r="K170" i="6"/>
  <c r="Q72" i="7"/>
  <c r="P67" i="7"/>
  <c r="I58" i="7"/>
  <c r="J56" i="7"/>
  <c r="J55" i="7"/>
  <c r="I47" i="7"/>
  <c r="I48" i="7" s="1"/>
  <c r="H45" i="7"/>
  <c r="H44" i="7"/>
  <c r="H42" i="7"/>
  <c r="F23" i="7"/>
  <c r="F22" i="7"/>
  <c r="F21" i="7"/>
  <c r="G28" i="7"/>
  <c r="J35" i="7"/>
  <c r="H34" i="7"/>
  <c r="E28" i="7"/>
  <c r="I26" i="7"/>
  <c r="I25" i="7"/>
  <c r="I24" i="7"/>
  <c r="N26" i="7"/>
  <c r="N25" i="7"/>
  <c r="N24" i="7"/>
  <c r="N27" i="7" s="1"/>
  <c r="M26" i="7"/>
  <c r="M25" i="7"/>
  <c r="M24" i="7"/>
  <c r="M21" i="7"/>
  <c r="AQ134" i="1"/>
  <c r="AQ133" i="1"/>
  <c r="AQ132" i="1"/>
  <c r="AO138" i="1"/>
  <c r="AO139" i="1" s="1"/>
  <c r="AP140" i="1" s="1"/>
  <c r="AF140" i="1"/>
  <c r="AF141" i="1" s="1"/>
  <c r="AF139" i="1"/>
  <c r="W119" i="1"/>
  <c r="W120" i="1" s="1"/>
  <c r="AB127" i="1"/>
  <c r="Y124" i="1"/>
  <c r="AB122" i="1"/>
  <c r="AC122" i="1" s="1"/>
  <c r="AC123" i="1" s="1"/>
  <c r="AC124" i="1" s="1"/>
  <c r="X124" i="1"/>
  <c r="S122" i="1"/>
  <c r="S121" i="1"/>
  <c r="R126" i="1"/>
  <c r="U124" i="1"/>
  <c r="V124" i="1" s="1"/>
  <c r="U127" i="1"/>
  <c r="V127" i="1" s="1"/>
  <c r="V126" i="1"/>
  <c r="V125" i="1"/>
  <c r="U126" i="1"/>
  <c r="U125" i="1"/>
  <c r="U128" i="1" s="1"/>
  <c r="V119" i="1"/>
  <c r="Q120" i="1"/>
  <c r="Q119" i="1"/>
  <c r="Q118" i="1"/>
  <c r="Q117" i="1"/>
  <c r="Q116" i="1"/>
  <c r="Q121" i="1" s="1"/>
  <c r="Q122" i="1" s="1"/>
  <c r="P114" i="1"/>
  <c r="Q110" i="1"/>
  <c r="Q109" i="1"/>
  <c r="Q111" i="1" s="1"/>
  <c r="Q112" i="1" s="1"/>
  <c r="R109" i="1"/>
  <c r="Q103" i="1"/>
  <c r="Q104" i="1" s="1"/>
  <c r="O103" i="1"/>
  <c r="V107" i="1"/>
  <c r="V106" i="1"/>
  <c r="T111" i="1"/>
  <c r="T112" i="1" s="1"/>
  <c r="S111" i="1"/>
  <c r="S112" i="1" s="1"/>
  <c r="R112" i="1"/>
  <c r="R111" i="1"/>
  <c r="R108" i="1"/>
  <c r="R107" i="1"/>
  <c r="U111" i="1"/>
  <c r="X108" i="1"/>
  <c r="X105" i="1"/>
  <c r="X104" i="1"/>
  <c r="X103" i="1"/>
  <c r="X102" i="1"/>
  <c r="W100" i="1"/>
  <c r="W99" i="1"/>
  <c r="W98" i="1"/>
  <c r="T104" i="1"/>
  <c r="T105" i="1"/>
  <c r="T106" i="1" s="1"/>
  <c r="T101" i="1"/>
  <c r="T102" i="1" s="1"/>
  <c r="K91" i="1"/>
  <c r="M81" i="1"/>
  <c r="M82" i="1" s="1"/>
  <c r="K81" i="1"/>
  <c r="K82" i="1" s="1"/>
  <c r="K84" i="1"/>
  <c r="K83" i="1"/>
  <c r="W93" i="1"/>
  <c r="U93" i="1"/>
  <c r="U94" i="1" s="1"/>
  <c r="U95" i="1" s="1"/>
  <c r="U96" i="1" s="1"/>
  <c r="W94" i="1" s="1"/>
  <c r="U87" i="1"/>
  <c r="U88" i="1" s="1"/>
  <c r="S87" i="1"/>
  <c r="S88" i="1" s="1"/>
  <c r="S89" i="1" s="1"/>
  <c r="S90" i="1" s="1"/>
  <c r="S93" i="1"/>
  <c r="Q93" i="1"/>
  <c r="Q94" i="1" s="1"/>
  <c r="Q95" i="1" s="1"/>
  <c r="Q96" i="1" s="1"/>
  <c r="Q87" i="1"/>
  <c r="Q88" i="1" s="1"/>
  <c r="O87" i="1"/>
  <c r="O88" i="1" s="1"/>
  <c r="O89" i="1" s="1"/>
  <c r="O90" i="1" s="1"/>
  <c r="O94" i="1"/>
  <c r="O93" i="1"/>
  <c r="M93" i="1"/>
  <c r="M94" i="1" s="1"/>
  <c r="M89" i="1"/>
  <c r="M88" i="1"/>
  <c r="K90" i="1"/>
  <c r="K89" i="1"/>
  <c r="K88" i="1"/>
  <c r="H87" i="1"/>
  <c r="H88" i="1" s="1"/>
  <c r="H83" i="1"/>
  <c r="G87" i="1"/>
  <c r="G88" i="1" s="1"/>
  <c r="G83" i="1"/>
  <c r="F83" i="1"/>
  <c r="F87" i="1" s="1"/>
  <c r="F88" i="1" s="1"/>
  <c r="H78" i="1"/>
  <c r="H79" i="1" s="1"/>
  <c r="H74" i="1"/>
  <c r="G74" i="1"/>
  <c r="I78" i="1"/>
  <c r="I79" i="1" s="1"/>
  <c r="I74" i="1"/>
  <c r="F78" i="1"/>
  <c r="F79" i="1" s="1"/>
  <c r="F74" i="1"/>
  <c r="X120" i="1" l="1"/>
  <c r="W122" i="1"/>
  <c r="W121" i="1"/>
  <c r="S94" i="1"/>
  <c r="R99" i="1" s="1"/>
  <c r="V128" i="1"/>
  <c r="A19" i="10"/>
  <c r="L18" i="10"/>
  <c r="G71" i="7"/>
  <c r="G72" i="7" s="1"/>
  <c r="G73" i="7" s="1"/>
  <c r="G74" i="7" s="1"/>
  <c r="E80" i="7"/>
  <c r="E81" i="7" s="1"/>
  <c r="I27" i="7"/>
  <c r="J27" i="7" s="1"/>
  <c r="M231" i="7"/>
  <c r="L232" i="7"/>
  <c r="J95" i="7"/>
  <c r="M27" i="7"/>
  <c r="F24" i="7"/>
  <c r="G24" i="7" s="1"/>
  <c r="I118" i="7"/>
  <c r="R105" i="8"/>
  <c r="Q106" i="8"/>
  <c r="X121" i="1"/>
  <c r="X122" i="1"/>
  <c r="Y125" i="1"/>
  <c r="Y126" i="1" s="1"/>
  <c r="X128" i="1" s="1"/>
  <c r="AD123" i="1"/>
  <c r="AC125" i="1"/>
  <c r="G78" i="1"/>
  <c r="G79" i="1" s="1"/>
  <c r="N115" i="6"/>
  <c r="N114" i="6"/>
  <c r="M113" i="6"/>
  <c r="L72" i="6"/>
  <c r="L73" i="6" s="1"/>
  <c r="L74" i="6" s="1"/>
  <c r="P46" i="6"/>
  <c r="P47" i="6" s="1"/>
  <c r="M49" i="6"/>
  <c r="M50" i="6" s="1"/>
  <c r="N50" i="6" s="1"/>
  <c r="M47" i="6"/>
  <c r="N54" i="6"/>
  <c r="N52" i="6"/>
  <c r="K54" i="6"/>
  <c r="K52" i="6"/>
  <c r="M17" i="7"/>
  <c r="N17" i="7" s="1"/>
  <c r="N18" i="7" s="1"/>
  <c r="L16" i="7"/>
  <c r="L15" i="7"/>
  <c r="J17" i="7"/>
  <c r="J18" i="7" s="1"/>
  <c r="J19" i="7" s="1"/>
  <c r="I18" i="7"/>
  <c r="I17" i="7"/>
  <c r="M5" i="7"/>
  <c r="Q14" i="7"/>
  <c r="Q15" i="7" s="1"/>
  <c r="Q16" i="7" s="1"/>
  <c r="Q17" i="7" s="1"/>
  <c r="Q18" i="7" s="1"/>
  <c r="Q19" i="7" s="1"/>
  <c r="Q20" i="7" s="1"/>
  <c r="Q21" i="7" s="1"/>
  <c r="O13" i="7"/>
  <c r="A20" i="10" l="1"/>
  <c r="L19" i="10"/>
  <c r="L17" i="7"/>
  <c r="L233" i="7"/>
  <c r="M232" i="7"/>
  <c r="R106" i="8"/>
  <c r="Q107" i="8"/>
  <c r="Z125" i="1"/>
  <c r="Z127" i="1" s="1"/>
  <c r="Y127" i="1"/>
  <c r="X129" i="1" s="1"/>
  <c r="AD124" i="1"/>
  <c r="AD125" i="1"/>
  <c r="N56" i="6"/>
  <c r="K56" i="6"/>
  <c r="K9" i="7"/>
  <c r="L13" i="7"/>
  <c r="L11" i="7"/>
  <c r="A21" i="10" l="1"/>
  <c r="L20" i="10"/>
  <c r="L234" i="7"/>
  <c r="M233" i="7"/>
  <c r="Q108" i="8"/>
  <c r="R108" i="8" s="1"/>
  <c r="R107" i="8"/>
  <c r="Z126" i="1"/>
  <c r="J14" i="7"/>
  <c r="I9" i="7"/>
  <c r="G8" i="7"/>
  <c r="H8" i="7"/>
  <c r="I8" i="7" s="1"/>
  <c r="E9" i="7"/>
  <c r="G150" i="6"/>
  <c r="I150" i="6"/>
  <c r="J150" i="6" s="1"/>
  <c r="J151" i="6" s="1"/>
  <c r="J152" i="6" s="1"/>
  <c r="H150" i="6"/>
  <c r="H152" i="6" s="1"/>
  <c r="E170" i="6"/>
  <c r="H170" i="6"/>
  <c r="F151" i="6"/>
  <c r="H149" i="6"/>
  <c r="I143" i="6"/>
  <c r="I139" i="6"/>
  <c r="I140" i="6" s="1"/>
  <c r="H139" i="6"/>
  <c r="H140" i="6" s="1"/>
  <c r="K146" i="6"/>
  <c r="I146" i="6"/>
  <c r="I147" i="6" s="1"/>
  <c r="E139" i="6"/>
  <c r="H101" i="6"/>
  <c r="H97" i="6"/>
  <c r="E97" i="6"/>
  <c r="E101" i="6" s="1"/>
  <c r="C97" i="6"/>
  <c r="C101" i="6" s="1"/>
  <c r="A97" i="6"/>
  <c r="A101" i="6" s="1"/>
  <c r="H88" i="6"/>
  <c r="H92" i="6" s="1"/>
  <c r="E92" i="6"/>
  <c r="E88" i="6"/>
  <c r="A92" i="6"/>
  <c r="A88" i="6"/>
  <c r="C88" i="6"/>
  <c r="C92" i="6" s="1"/>
  <c r="E79" i="6"/>
  <c r="E83" i="6" s="1"/>
  <c r="H79" i="6"/>
  <c r="H83" i="6" s="1"/>
  <c r="C79" i="6"/>
  <c r="C83" i="6" s="1"/>
  <c r="A79" i="6"/>
  <c r="A83" i="6" s="1"/>
  <c r="H72" i="6"/>
  <c r="H70" i="6"/>
  <c r="E70" i="6"/>
  <c r="E74" i="6" s="1"/>
  <c r="C70" i="6"/>
  <c r="C74" i="6" s="1"/>
  <c r="A70" i="6"/>
  <c r="A74" i="6" s="1"/>
  <c r="H61" i="6"/>
  <c r="H65" i="6" s="1"/>
  <c r="E61" i="6"/>
  <c r="E65" i="6" s="1"/>
  <c r="C61" i="6"/>
  <c r="C65" i="6" s="1"/>
  <c r="A61" i="6"/>
  <c r="A65" i="6" s="1"/>
  <c r="H54" i="6"/>
  <c r="H52" i="6"/>
  <c r="E52" i="6"/>
  <c r="E56" i="6" s="1"/>
  <c r="C52" i="6"/>
  <c r="C56" i="6" s="1"/>
  <c r="A52" i="6"/>
  <c r="A56" i="6" s="1"/>
  <c r="H36" i="6"/>
  <c r="I36" i="6" s="1"/>
  <c r="H37" i="6"/>
  <c r="I37" i="6" s="1"/>
  <c r="I32" i="6"/>
  <c r="H31" i="6"/>
  <c r="I31" i="6" s="1"/>
  <c r="H32" i="6"/>
  <c r="K33" i="6"/>
  <c r="K26" i="6"/>
  <c r="H26" i="6"/>
  <c r="I26" i="6" s="1"/>
  <c r="H27" i="6"/>
  <c r="I27" i="6" s="1"/>
  <c r="H16" i="6"/>
  <c r="I16" i="6" s="1"/>
  <c r="H5" i="6"/>
  <c r="I5" i="6" s="1"/>
  <c r="H11" i="6"/>
  <c r="H6" i="6"/>
  <c r="I6" i="6" s="1"/>
  <c r="H17" i="6"/>
  <c r="I17" i="6" s="1"/>
  <c r="I11" i="6"/>
  <c r="I12" i="6" s="1"/>
  <c r="K11" i="6"/>
  <c r="L11" i="6" s="1"/>
  <c r="K12" i="6"/>
  <c r="L12" i="6" s="1"/>
  <c r="K16" i="6"/>
  <c r="L16" i="6" s="1"/>
  <c r="K17" i="6"/>
  <c r="L17" i="6" s="1"/>
  <c r="K21" i="6"/>
  <c r="L21" i="6" s="1"/>
  <c r="K22" i="6"/>
  <c r="L22" i="6" s="1"/>
  <c r="U10" i="6"/>
  <c r="X22" i="6"/>
  <c r="W22" i="6"/>
  <c r="X21" i="6"/>
  <c r="R18" i="6"/>
  <c r="S23" i="6"/>
  <c r="S22" i="6"/>
  <c r="S21" i="6"/>
  <c r="W6" i="6"/>
  <c r="W7" i="6" s="1"/>
  <c r="V6" i="6"/>
  <c r="V7" i="6" s="1"/>
  <c r="U22" i="6"/>
  <c r="U21" i="6"/>
  <c r="S14" i="6"/>
  <c r="S13" i="6"/>
  <c r="V17" i="6"/>
  <c r="U17" i="6"/>
  <c r="U18" i="6"/>
  <c r="U14" i="6"/>
  <c r="Y16" i="6"/>
  <c r="W16" i="6"/>
  <c r="W17" i="6" s="1"/>
  <c r="X12" i="6"/>
  <c r="X13" i="6" s="1"/>
  <c r="X14" i="6" s="1"/>
  <c r="U6" i="6"/>
  <c r="U7" i="6" s="1"/>
  <c r="T6" i="6"/>
  <c r="T7" i="6" s="1"/>
  <c r="S6" i="6"/>
  <c r="S5" i="6"/>
  <c r="L43" i="1"/>
  <c r="K43" i="1"/>
  <c r="M43" i="1" s="1"/>
  <c r="J43" i="1"/>
  <c r="H39" i="1"/>
  <c r="H38" i="1"/>
  <c r="L21" i="3"/>
  <c r="L20" i="3"/>
  <c r="L18" i="6" l="1"/>
  <c r="L19" i="6" s="1"/>
  <c r="A22" i="10"/>
  <c r="L21" i="10"/>
  <c r="S7" i="6"/>
  <c r="H74" i="6"/>
  <c r="L23" i="6"/>
  <c r="L24" i="6" s="1"/>
  <c r="M234" i="7"/>
  <c r="L235" i="7"/>
  <c r="J139" i="6"/>
  <c r="J140" i="6" s="1"/>
  <c r="H56" i="6"/>
  <c r="I38" i="6"/>
  <c r="I39" i="6" s="1"/>
  <c r="I33" i="6"/>
  <c r="I34" i="6" s="1"/>
  <c r="I28" i="6"/>
  <c r="I29" i="6" s="1"/>
  <c r="I7" i="6"/>
  <c r="I8" i="6" s="1"/>
  <c r="I18" i="6"/>
  <c r="I19" i="6" s="1"/>
  <c r="L13" i="6"/>
  <c r="L14" i="6" s="1"/>
  <c r="M51" i="5"/>
  <c r="V59" i="5"/>
  <c r="V62" i="5" s="1"/>
  <c r="V63" i="5" s="1"/>
  <c r="U59" i="5"/>
  <c r="U62" i="5" s="1"/>
  <c r="U63" i="5" s="1"/>
  <c r="T59" i="5"/>
  <c r="T62" i="5" s="1"/>
  <c r="R59" i="5"/>
  <c r="R62" i="5" s="1"/>
  <c r="R63" i="5" s="1"/>
  <c r="Q59" i="5"/>
  <c r="Q62" i="5" s="1"/>
  <c r="Q63" i="5" s="1"/>
  <c r="P59" i="5"/>
  <c r="P62" i="5" s="1"/>
  <c r="N59" i="5"/>
  <c r="N62" i="5" s="1"/>
  <c r="N63" i="5" s="1"/>
  <c r="M59" i="5"/>
  <c r="M62" i="5" s="1"/>
  <c r="M63" i="5" s="1"/>
  <c r="L59" i="5"/>
  <c r="L62" i="5" s="1"/>
  <c r="R47" i="5"/>
  <c r="R50" i="5" s="1"/>
  <c r="R51" i="5" s="1"/>
  <c r="Q47" i="5"/>
  <c r="Q50" i="5" s="1"/>
  <c r="Q51" i="5" s="1"/>
  <c r="P47" i="5"/>
  <c r="P50" i="5" s="1"/>
  <c r="N47" i="5"/>
  <c r="N50" i="5" s="1"/>
  <c r="N51" i="5" s="1"/>
  <c r="M47" i="5"/>
  <c r="M50" i="5" s="1"/>
  <c r="L47" i="5"/>
  <c r="L50" i="5" s="1"/>
  <c r="H27" i="5"/>
  <c r="G47" i="5"/>
  <c r="F49" i="5"/>
  <c r="E49" i="5"/>
  <c r="C49" i="5"/>
  <c r="H47" i="5"/>
  <c r="H50" i="5" s="1"/>
  <c r="G50" i="5"/>
  <c r="F47" i="5"/>
  <c r="F50" i="5" s="1"/>
  <c r="E47" i="5"/>
  <c r="E50" i="5" s="1"/>
  <c r="D47" i="5"/>
  <c r="D50" i="5" s="1"/>
  <c r="C47" i="5"/>
  <c r="F29" i="5"/>
  <c r="E29" i="5"/>
  <c r="C29" i="5"/>
  <c r="H30" i="5"/>
  <c r="G27" i="5"/>
  <c r="G30" i="5" s="1"/>
  <c r="F27" i="5"/>
  <c r="F30" i="5" s="1"/>
  <c r="E27" i="5"/>
  <c r="E30" i="5" s="1"/>
  <c r="D27" i="5"/>
  <c r="D30" i="5" s="1"/>
  <c r="C27" i="5"/>
  <c r="F13" i="5"/>
  <c r="E13" i="5"/>
  <c r="C13" i="5"/>
  <c r="H11" i="5"/>
  <c r="H14" i="5" s="1"/>
  <c r="G11" i="5"/>
  <c r="G14" i="5" s="1"/>
  <c r="F11" i="5"/>
  <c r="E11" i="5"/>
  <c r="D11" i="5"/>
  <c r="D14" i="5" s="1"/>
  <c r="C11" i="5"/>
  <c r="C14" i="5" s="1"/>
  <c r="C50" i="5" l="1"/>
  <c r="E14" i="5"/>
  <c r="I14" i="5" s="1"/>
  <c r="C30" i="5"/>
  <c r="A23" i="10"/>
  <c r="L22" i="10"/>
  <c r="F14" i="5"/>
  <c r="M235" i="7"/>
  <c r="L236" i="7"/>
  <c r="I50" i="5"/>
  <c r="I30" i="5"/>
  <c r="B54" i="5" l="1"/>
  <c r="B34" i="5"/>
  <c r="A24" i="10"/>
  <c r="L23" i="10"/>
  <c r="M236" i="7"/>
  <c r="L237" i="7"/>
  <c r="B89" i="1"/>
  <c r="A25" i="10" l="1"/>
  <c r="L24" i="10"/>
  <c r="L238" i="7"/>
  <c r="M237" i="7"/>
  <c r="A26" i="10" l="1"/>
  <c r="L25" i="10"/>
  <c r="L239" i="7"/>
  <c r="M238" i="7"/>
  <c r="N238" i="7" s="1"/>
  <c r="K10" i="1"/>
  <c r="I10" i="1"/>
  <c r="H10" i="1"/>
  <c r="H11" i="1"/>
  <c r="A27" i="10" l="1"/>
  <c r="L26" i="10"/>
  <c r="L240" i="7"/>
  <c r="M239" i="7"/>
  <c r="N239" i="7" s="1"/>
  <c r="I12" i="1"/>
  <c r="J12" i="1"/>
  <c r="J13" i="1"/>
  <c r="J14" i="1" s="1"/>
  <c r="I13" i="1"/>
  <c r="I14" i="1" s="1"/>
  <c r="H13" i="1"/>
  <c r="H14" i="1" s="1"/>
  <c r="H12" i="1"/>
  <c r="A28" i="10" l="1"/>
  <c r="L27" i="10"/>
  <c r="L241" i="7"/>
  <c r="M240" i="7"/>
  <c r="N240" i="7" s="1"/>
  <c r="A29" i="10" l="1"/>
  <c r="L28" i="10"/>
  <c r="L242" i="7"/>
  <c r="M242" i="7" s="1"/>
  <c r="N242" i="7" s="1"/>
  <c r="M241" i="7"/>
  <c r="N241" i="7" s="1"/>
  <c r="F15" i="1"/>
  <c r="F14" i="1"/>
  <c r="E14" i="1"/>
  <c r="E15" i="1"/>
  <c r="F9" i="1"/>
  <c r="F10" i="1"/>
  <c r="F11" i="1"/>
  <c r="F12" i="1"/>
  <c r="B8" i="1"/>
  <c r="A30" i="10" l="1"/>
  <c r="L29" i="10"/>
  <c r="D235" i="1"/>
  <c r="A31" i="10" l="1"/>
  <c r="L30" i="10"/>
  <c r="E156" i="1"/>
  <c r="E158" i="1"/>
  <c r="F138" i="1"/>
  <c r="E160" i="1"/>
  <c r="B200" i="1"/>
  <c r="A32" i="10" l="1"/>
  <c r="L31" i="10"/>
  <c r="A304" i="1"/>
  <c r="A301" i="1"/>
  <c r="A299" i="1"/>
  <c r="A296" i="1"/>
  <c r="A291" i="1"/>
  <c r="A289" i="1"/>
  <c r="A287" i="1"/>
  <c r="D255" i="1"/>
  <c r="H255" i="1" s="1"/>
  <c r="H261" i="1"/>
  <c r="G261" i="1"/>
  <c r="F261" i="1"/>
  <c r="E261" i="1"/>
  <c r="D261" i="1"/>
  <c r="H260" i="1"/>
  <c r="G260" i="1"/>
  <c r="F260" i="1"/>
  <c r="E260" i="1"/>
  <c r="D260" i="1"/>
  <c r="H258" i="1"/>
  <c r="G258" i="1"/>
  <c r="F258" i="1"/>
  <c r="E258" i="1"/>
  <c r="D258" i="1"/>
  <c r="H257" i="1"/>
  <c r="G257" i="1"/>
  <c r="F257" i="1"/>
  <c r="E257" i="1"/>
  <c r="D257" i="1"/>
  <c r="D244" i="1"/>
  <c r="H244" i="1" s="1"/>
  <c r="D245" i="1"/>
  <c r="H245" i="1" s="1"/>
  <c r="H251" i="1"/>
  <c r="G251" i="1"/>
  <c r="F251" i="1"/>
  <c r="E251" i="1"/>
  <c r="D251" i="1"/>
  <c r="H250" i="1"/>
  <c r="G250" i="1"/>
  <c r="F250" i="1"/>
  <c r="E250" i="1"/>
  <c r="D250" i="1"/>
  <c r="H248" i="1"/>
  <c r="G248" i="1"/>
  <c r="F248" i="1"/>
  <c r="E248" i="1"/>
  <c r="D248" i="1"/>
  <c r="H247" i="1"/>
  <c r="G247" i="1"/>
  <c r="F247" i="1"/>
  <c r="E247" i="1"/>
  <c r="D247" i="1"/>
  <c r="H241" i="1"/>
  <c r="G241" i="1"/>
  <c r="H240" i="1"/>
  <c r="G240" i="1"/>
  <c r="H238" i="1"/>
  <c r="G238" i="1"/>
  <c r="H237" i="1"/>
  <c r="G237" i="1"/>
  <c r="H235" i="1"/>
  <c r="G235" i="1"/>
  <c r="G234" i="1"/>
  <c r="F235" i="1"/>
  <c r="E235" i="1"/>
  <c r="E234" i="1"/>
  <c r="F241" i="1"/>
  <c r="F240" i="1"/>
  <c r="F238" i="1"/>
  <c r="F237" i="1"/>
  <c r="E241" i="1"/>
  <c r="E240" i="1"/>
  <c r="E238" i="1"/>
  <c r="E237" i="1"/>
  <c r="D241" i="1"/>
  <c r="D240" i="1"/>
  <c r="D238" i="1"/>
  <c r="D237" i="1"/>
  <c r="D234" i="1"/>
  <c r="D254" i="1" s="1"/>
  <c r="E226" i="1"/>
  <c r="E225" i="1"/>
  <c r="D226" i="1"/>
  <c r="D225" i="1"/>
  <c r="C226" i="1"/>
  <c r="C225" i="1"/>
  <c r="D222" i="1"/>
  <c r="E220" i="1"/>
  <c r="D220" i="1"/>
  <c r="C223" i="1"/>
  <c r="D223" i="1" s="1"/>
  <c r="C222" i="1"/>
  <c r="E222" i="1" s="1"/>
  <c r="C220" i="1"/>
  <c r="C219" i="1"/>
  <c r="E219" i="1" s="1"/>
  <c r="H254" i="1" l="1"/>
  <c r="D273" i="1"/>
  <c r="D219" i="1"/>
  <c r="F234" i="1"/>
  <c r="H234" i="1"/>
  <c r="E223" i="1"/>
  <c r="A33" i="10"/>
  <c r="L32" i="10"/>
  <c r="D274" i="1"/>
  <c r="F274" i="1" s="1"/>
  <c r="F255" i="1"/>
  <c r="G255" i="1"/>
  <c r="E255" i="1"/>
  <c r="E254" i="1"/>
  <c r="F254" i="1"/>
  <c r="G254" i="1"/>
  <c r="G245" i="1"/>
  <c r="E245" i="1"/>
  <c r="F245" i="1"/>
  <c r="E244" i="1"/>
  <c r="F244" i="1"/>
  <c r="G244" i="1"/>
  <c r="B207" i="1"/>
  <c r="B208" i="1"/>
  <c r="B204" i="1"/>
  <c r="B209" i="1"/>
  <c r="B201" i="1"/>
  <c r="B178" i="1"/>
  <c r="B192" i="1"/>
  <c r="B191" i="1"/>
  <c r="B186" i="1"/>
  <c r="B184" i="1"/>
  <c r="B187" i="1"/>
  <c r="B189" i="1"/>
  <c r="B188" i="1"/>
  <c r="B185" i="1"/>
  <c r="B183" i="1"/>
  <c r="B190" i="1"/>
  <c r="B179" i="1"/>
  <c r="B182" i="1"/>
  <c r="B180" i="1"/>
  <c r="B181" i="1"/>
  <c r="B4" i="1"/>
  <c r="B141" i="1"/>
  <c r="B140" i="1"/>
  <c r="B139" i="1"/>
  <c r="B156" i="1"/>
  <c r="B155" i="1"/>
  <c r="B159" i="1"/>
  <c r="B142" i="1"/>
  <c r="B160" i="1"/>
  <c r="B147" i="1"/>
  <c r="B168" i="1"/>
  <c r="B146" i="1"/>
  <c r="B167" i="1"/>
  <c r="B154" i="1"/>
  <c r="B153" i="1"/>
  <c r="B149" i="1"/>
  <c r="B148" i="1"/>
  <c r="B143" i="1"/>
  <c r="F141" i="1"/>
  <c r="F143" i="1"/>
  <c r="F149" i="1"/>
  <c r="F139" i="1"/>
  <c r="F145" i="1"/>
  <c r="F144" i="1"/>
  <c r="F148" i="1"/>
  <c r="F142" i="1"/>
  <c r="F147" i="1"/>
  <c r="F140" i="1"/>
  <c r="F146" i="1"/>
  <c r="B152" i="1"/>
  <c r="B144" i="1"/>
  <c r="B161" i="1"/>
  <c r="B151" i="1"/>
  <c r="B145" i="1"/>
  <c r="B150" i="1"/>
  <c r="B163" i="1"/>
  <c r="B166" i="1"/>
  <c r="B165" i="1"/>
  <c r="B164" i="1"/>
  <c r="B162" i="1"/>
  <c r="B158" i="1"/>
  <c r="B157" i="1"/>
  <c r="A34" i="10" l="1"/>
  <c r="L33" i="10"/>
  <c r="H273" i="1"/>
  <c r="D279" i="1"/>
  <c r="E273" i="1"/>
  <c r="G273" i="1"/>
  <c r="F273" i="1"/>
  <c r="G274" i="1"/>
  <c r="H274" i="1"/>
  <c r="D280" i="1"/>
  <c r="E274" i="1"/>
  <c r="H279" i="1" l="1"/>
  <c r="F279" i="1"/>
  <c r="G279" i="1"/>
  <c r="E279" i="1"/>
  <c r="A35" i="10"/>
  <c r="L34" i="10"/>
  <c r="H280" i="1"/>
  <c r="G280" i="1"/>
  <c r="F280" i="1"/>
  <c r="E280" i="1"/>
  <c r="A36" i="10" l="1"/>
  <c r="L35" i="10"/>
  <c r="B124" i="1"/>
  <c r="B121" i="1"/>
  <c r="B131" i="1"/>
  <c r="B119" i="1"/>
  <c r="B122" i="1"/>
  <c r="B125" i="1"/>
  <c r="B117" i="1"/>
  <c r="B126" i="1"/>
  <c r="B132" i="1"/>
  <c r="B129" i="1"/>
  <c r="B130" i="1"/>
  <c r="B128" i="1"/>
  <c r="B127" i="1"/>
  <c r="B123" i="1"/>
  <c r="B120" i="1"/>
  <c r="B118" i="1"/>
  <c r="B116" i="1"/>
  <c r="A37" i="10" l="1"/>
  <c r="L36" i="10"/>
  <c r="B109" i="1"/>
  <c r="B110" i="1"/>
  <c r="B108" i="1"/>
  <c r="B107" i="1"/>
  <c r="B106" i="1"/>
  <c r="B103" i="1"/>
  <c r="B102" i="1"/>
  <c r="B96" i="1"/>
  <c r="E104" i="1"/>
  <c r="E100" i="1"/>
  <c r="E98" i="1"/>
  <c r="E95" i="1"/>
  <c r="E94" i="1"/>
  <c r="E93" i="1"/>
  <c r="E92" i="1"/>
  <c r="B101" i="1"/>
  <c r="B100" i="1"/>
  <c r="B99" i="1"/>
  <c r="B95" i="1"/>
  <c r="B94" i="1"/>
  <c r="B93" i="1"/>
  <c r="B92" i="1"/>
  <c r="B88" i="1"/>
  <c r="B87" i="1"/>
  <c r="B86" i="1"/>
  <c r="B5" i="1"/>
  <c r="A38" i="10" l="1"/>
  <c r="L37" i="10"/>
  <c r="E102" i="1"/>
  <c r="A39" i="10" l="1"/>
  <c r="L38" i="10"/>
  <c r="N35" i="1"/>
  <c r="N34" i="1"/>
  <c r="N32" i="1"/>
  <c r="N36" i="1" s="1"/>
  <c r="N37" i="1" s="1"/>
  <c r="N27" i="1"/>
  <c r="A40" i="10" l="1"/>
  <c r="L39" i="10"/>
  <c r="B45" i="1"/>
  <c r="A41" i="10" l="1"/>
  <c r="L41" i="10" s="1"/>
  <c r="L40" i="10"/>
  <c r="B72" i="1"/>
  <c r="F39" i="1"/>
  <c r="F38" i="1"/>
  <c r="F37" i="1"/>
  <c r="F36" i="1"/>
  <c r="F35" i="1"/>
  <c r="F34" i="1"/>
  <c r="B12" i="1" l="1"/>
  <c r="B3" i="1"/>
  <c r="B39" i="1"/>
  <c r="B13" i="1"/>
  <c r="B63" i="1"/>
  <c r="B80" i="1"/>
  <c r="B49" i="1"/>
  <c r="B67" i="1"/>
  <c r="B74" i="1"/>
  <c r="B76" i="1"/>
  <c r="B70" i="1"/>
  <c r="B71" i="1"/>
  <c r="B77" i="1"/>
  <c r="B82" i="1"/>
  <c r="B81" i="1"/>
  <c r="B79" i="1"/>
  <c r="B36" i="1"/>
  <c r="B30" i="1"/>
  <c r="B40" i="1"/>
  <c r="B41" i="1"/>
  <c r="B35" i="1"/>
  <c r="B33" i="1"/>
  <c r="B31" i="1"/>
  <c r="B34" i="1"/>
  <c r="B32" i="1"/>
  <c r="B28" i="1"/>
  <c r="B69" i="1"/>
  <c r="B68" i="1"/>
  <c r="B66" i="1"/>
  <c r="B59" i="1"/>
  <c r="B64" i="1"/>
  <c r="B62" i="1"/>
  <c r="B61" i="1"/>
  <c r="B58" i="1"/>
  <c r="B57" i="1"/>
  <c r="B56" i="1"/>
  <c r="B54" i="1"/>
  <c r="B53" i="1"/>
  <c r="B78" i="1"/>
  <c r="B75" i="1"/>
  <c r="B73" i="1"/>
  <c r="B65" i="1"/>
  <c r="B60" i="1"/>
  <c r="B55" i="1"/>
  <c r="B52" i="1"/>
  <c r="B51" i="1"/>
  <c r="B50" i="1"/>
  <c r="B48" i="1"/>
  <c r="B47" i="1"/>
  <c r="B46" i="1"/>
  <c r="B18" i="1"/>
  <c r="B38" i="1"/>
  <c r="B16" i="1"/>
  <c r="B7" i="1"/>
  <c r="B27" i="1"/>
  <c r="B26" i="1"/>
  <c r="B24" i="1"/>
  <c r="B25" i="1"/>
  <c r="B19" i="1"/>
  <c r="B15" i="1"/>
  <c r="B20" i="1"/>
  <c r="B17" i="1"/>
  <c r="B6" i="1"/>
  <c r="B22" i="1"/>
  <c r="B21" i="1"/>
  <c r="B23" i="1"/>
  <c r="B37" i="1"/>
  <c r="B11" i="1"/>
  <c r="A10" i="3"/>
  <c r="A11" i="3" s="1"/>
  <c r="A12" i="3" s="1"/>
  <c r="A13" i="3" s="1"/>
  <c r="A14" i="3" s="1"/>
  <c r="A15" i="3" s="1"/>
  <c r="A16" i="3" s="1"/>
  <c r="A17" i="3" s="1"/>
  <c r="A18" i="3" s="1"/>
  <c r="A19" i="3" s="1"/>
  <c r="A20" i="3" s="1"/>
  <c r="A21" i="3" s="1"/>
  <c r="A22" i="3" s="1"/>
  <c r="A23" i="3" s="1"/>
  <c r="A24" i="3" s="1"/>
  <c r="A25" i="3" s="1"/>
  <c r="A26" i="3" s="1"/>
  <c r="A27" i="3" s="1"/>
  <c r="A28" i="3" s="1"/>
  <c r="A29" i="3" s="1"/>
  <c r="A30" i="3" s="1"/>
  <c r="A31" i="3" s="1"/>
  <c r="A32" i="3" s="1"/>
  <c r="A33" i="3" s="1"/>
  <c r="A34" i="3" s="1"/>
  <c r="A35" i="3" s="1"/>
  <c r="A36" i="3" s="1"/>
  <c r="A37" i="3" s="1"/>
  <c r="A38" i="3" s="1"/>
  <c r="A39" i="3" s="1"/>
  <c r="A40" i="3" s="1"/>
  <c r="A41" i="3" s="1"/>
  <c r="B29" i="1"/>
  <c r="B10" i="1"/>
  <c r="B14" i="1"/>
  <c r="B9" i="1"/>
  <c r="F26" i="1"/>
  <c r="H26" i="1"/>
  <c r="J26" i="1"/>
  <c r="N26" i="1"/>
  <c r="Q26" i="1"/>
  <c r="O143" i="7" l="1"/>
  <c r="P143" i="7" s="1"/>
  <c r="N145" i="7"/>
  <c r="O145" i="7" s="1"/>
  <c r="P145" i="7" s="1"/>
</calcChain>
</file>

<file path=xl/sharedStrings.xml><?xml version="1.0" encoding="utf-8"?>
<sst xmlns="http://schemas.openxmlformats.org/spreadsheetml/2006/main" count="10048" uniqueCount="4089">
  <si>
    <t>max 120 for skull trap</t>
  </si>
  <si>
    <t>whirlwind attack, all 10 attacks backstab</t>
  </si>
  <si>
    <t>max 160 for wilting</t>
  </si>
  <si>
    <t>3 grandmastery</t>
  </si>
  <si>
    <t>Arrows of Detonation without save Whirlwind</t>
  </si>
  <si>
    <t>20d6 skull trap</t>
  </si>
  <si>
    <t>Sunray casts instantly</t>
  </si>
  <si>
    <t>4 piercing</t>
  </si>
  <si>
    <t>Arrows of Detonation without save</t>
  </si>
  <si>
    <t>120 max spike trap</t>
  </si>
  <si>
    <t>20d8 wilting</t>
  </si>
  <si>
    <t>Improved Alacrity and Robe of Vecna</t>
  </si>
  <si>
    <t>18 base from staff</t>
  </si>
  <si>
    <t>Tuigan Bow Acid Arrows Whirlwind</t>
  </si>
  <si>
    <t>20d6 spike trap</t>
  </si>
  <si>
    <t>contingency skull trap</t>
  </si>
  <si>
    <t>1 Sunray does 1048 damage to undead</t>
  </si>
  <si>
    <t>14 STR bonus</t>
  </si>
  <si>
    <t>Tuigan Bow Acid Arrows</t>
  </si>
  <si>
    <t>7 spike traps</t>
  </si>
  <si>
    <t>spell trigger skull traps</t>
  </si>
  <si>
    <t>5 Sunrays with 2 Holy Symbols</t>
  </si>
  <si>
    <t>7x multiplier</t>
  </si>
  <si>
    <t>5x multiplier</t>
  </si>
  <si>
    <t>Improved Alacrity</t>
  </si>
  <si>
    <t>chain contingency wiltings</t>
  </si>
  <si>
    <t>versus undead</t>
  </si>
  <si>
    <t>1 to damage</t>
  </si>
  <si>
    <t>8 to damage</t>
  </si>
  <si>
    <t>cleric/mage</t>
  </si>
  <si>
    <t>mage/thief</t>
  </si>
  <si>
    <t>mage</t>
  </si>
  <si>
    <t>assassin/fighter</t>
  </si>
  <si>
    <t>kensai/thief</t>
  </si>
  <si>
    <t>Strong Arm Acid Arrows Whirlwind</t>
  </si>
  <si>
    <t>Strong Arm Acid Arrows</t>
  </si>
  <si>
    <t>Jhor the Bleeder Whirlwind</t>
  </si>
  <si>
    <t>Crom Faeyr Whirlwind</t>
  </si>
  <si>
    <t>Staff of the Ram Whirlwind</t>
  </si>
  <si>
    <t>Celestial Fury Whirlwind</t>
  </si>
  <si>
    <t>Impaler Whirlwind</t>
  </si>
  <si>
    <t>Gnasher Whirlwind</t>
  </si>
  <si>
    <t>Jhor the Bleeder Belm</t>
  </si>
  <si>
    <t>Crom Faeyr Celestial Fury</t>
  </si>
  <si>
    <t>Staff of the Ram</t>
  </si>
  <si>
    <t>Celestial Fury Belm</t>
  </si>
  <si>
    <t>Crom Faeyr Belm</t>
  </si>
  <si>
    <t>Impaler</t>
  </si>
  <si>
    <t>Gnasher Belm</t>
  </si>
  <si>
    <t>Energy Blade</t>
  </si>
  <si>
    <t>76 bonus from Improved Bard song</t>
  </si>
  <si>
    <t>bullets +4 from Erinne Sling do 9 damage max</t>
  </si>
  <si>
    <t>STR bonus of 14</t>
  </si>
  <si>
    <t>Sling does 2 damage</t>
  </si>
  <si>
    <t>1 hit from Sling of Everard</t>
  </si>
  <si>
    <t>1 Horrid Wilting</t>
  </si>
  <si>
    <t>1 Horrid Wilting does 160 damage max</t>
  </si>
  <si>
    <t>The  highest damage of one party entirely composed of Conjurer/Clerics against one target:</t>
  </si>
  <si>
    <t>1 Chain Contingency with 3 Horrid Wiltings</t>
  </si>
  <si>
    <t>The highest melee damage of one character per round against one target with party support is the Assassin/Fighter:</t>
  </si>
  <si>
    <t>1 Spell Trigger with 3 Skull Traps</t>
  </si>
  <si>
    <t>The highest damage of one character per round against one target without party support is the Conjurer/Cleric:</t>
  </si>
  <si>
    <t>1 Spell Sequencer with 3 Skull Traps</t>
  </si>
  <si>
    <t>1 Minor Spell Sequencer with 2 Magic Missiles</t>
  </si>
  <si>
    <t>damage per round</t>
  </si>
  <si>
    <t>but damage cap is 1048</t>
  </si>
  <si>
    <t>damage per attack</t>
  </si>
  <si>
    <t>1 Chain Lightning does 60 damage max</t>
  </si>
  <si>
    <t>backstab</t>
  </si>
  <si>
    <t>7 Chain Lightnings from an Extra Level 6 HLA</t>
  </si>
  <si>
    <t>base damage</t>
  </si>
  <si>
    <t>backstab multiplier</t>
  </si>
  <si>
    <t>1 Sunfire does 120 damage max</t>
  </si>
  <si>
    <t>attacks per round</t>
  </si>
  <si>
    <t>6 Sunfires</t>
  </si>
  <si>
    <t>offensive spin</t>
  </si>
  <si>
    <t>improved bard song (19 misleads)</t>
  </si>
  <si>
    <t>improved bard song (95 misleads)</t>
  </si>
  <si>
    <t>improved bard song (76 misleads)</t>
  </si>
  <si>
    <t>1 Ice Storm does 16 damage max</t>
  </si>
  <si>
    <t>N/A</t>
  </si>
  <si>
    <t>MMM fire damage</t>
  </si>
  <si>
    <t>FoA elemental</t>
  </si>
  <si>
    <t>6 Ice Storms</t>
  </si>
  <si>
    <t>SotR base damage</t>
  </si>
  <si>
    <t>MMM base damage</t>
  </si>
  <si>
    <t>FoA base damage</t>
  </si>
  <si>
    <t>assassin bonus</t>
  </si>
  <si>
    <t>kensai bonus</t>
  </si>
  <si>
    <t>1 Skull Trap does 120 damage max</t>
  </si>
  <si>
    <t>staff proficiency</t>
  </si>
  <si>
    <t>proficiency</t>
  </si>
  <si>
    <t>flail proficiency</t>
  </si>
  <si>
    <t>6 Skull Traps</t>
  </si>
  <si>
    <t>not factored in backstab</t>
  </si>
  <si>
    <t>STR bonus</t>
  </si>
  <si>
    <t>melf's minute meteors</t>
  </si>
  <si>
    <t>FoA</t>
  </si>
  <si>
    <t>1 Acid Arrow does 8 damage max</t>
  </si>
  <si>
    <t>Assassin/Fighter</t>
  </si>
  <si>
    <t>Blade</t>
  </si>
  <si>
    <t>Kensai</t>
  </si>
  <si>
    <t>6 Melf's Acid Arrows</t>
  </si>
  <si>
    <t>with Wish-resting and 4 Bards with Improved Bard Song</t>
  </si>
  <si>
    <t>1 magic missile spell does 25 damage max</t>
  </si>
  <si>
    <t>6 magic missiles</t>
  </si>
  <si>
    <t>1 Dragon's Breath does 200 damage max</t>
  </si>
  <si>
    <t>3 Dragon's Breaths</t>
  </si>
  <si>
    <t>1 Holy Smite does 80 damage max</t>
  </si>
  <si>
    <t>11 Holy Smites with 25 wisdom</t>
  </si>
  <si>
    <t>improved bard song (6 misleads)</t>
  </si>
  <si>
    <t>6 Sunrays with 2 Holy Symbols and 25 wisdom</t>
  </si>
  <si>
    <t>Conjurer/Cleric 22/23</t>
  </si>
  <si>
    <t>19 misleads are possible, with another character Wish-resting</t>
  </si>
  <si>
    <t>with Wish-resting</t>
  </si>
  <si>
    <t>Belm base damage</t>
  </si>
  <si>
    <t>scimitar proficiency</t>
  </si>
  <si>
    <t>belm</t>
  </si>
  <si>
    <t>highest theoretical damage by one character with party buffs</t>
  </si>
  <si>
    <t>MAGE</t>
  </si>
  <si>
    <t>FIGHTER</t>
  </si>
  <si>
    <t>PALADIN</t>
  </si>
  <si>
    <t>RANGER</t>
  </si>
  <si>
    <t>CLERIC</t>
  </si>
  <si>
    <t>DRUID</t>
  </si>
  <si>
    <t>THIEF</t>
  </si>
  <si>
    <t>BARD</t>
  </si>
  <si>
    <t>SORCEROR</t>
  </si>
  <si>
    <t>MONK</t>
  </si>
  <si>
    <t>Druid 1</t>
  </si>
  <si>
    <t>Bard 1</t>
  </si>
  <si>
    <t>Paladin 1</t>
  </si>
  <si>
    <t>Cleric 1</t>
  </si>
  <si>
    <t>Ranger 1</t>
  </si>
  <si>
    <t>Sorceror 1</t>
  </si>
  <si>
    <t>Wisdom 1</t>
  </si>
  <si>
    <t>Mage 1</t>
  </si>
  <si>
    <t>level 1</t>
  </si>
  <si>
    <t>Mage/Cleric 22/23</t>
  </si>
  <si>
    <t>Kensai/Druid 21/24, move 1 level to Druid to exchange 1 to hit and damage for 1 7th level spell slot</t>
  </si>
  <si>
    <t>SoA</t>
  </si>
  <si>
    <t>ToB</t>
  </si>
  <si>
    <t>limited arrows</t>
  </si>
  <si>
    <t>FoA+3 Whirlwind</t>
  </si>
  <si>
    <t>FoA+3 Belm</t>
  </si>
  <si>
    <t>FoA+3 Crom Faeyr</t>
  </si>
  <si>
    <t>FoA+3 Celestial Fury</t>
  </si>
  <si>
    <t>FoA+3 Gnasher</t>
  </si>
  <si>
    <t>FoA+3 Jhor the Bleeder</t>
  </si>
  <si>
    <t>FoA+5 Belm</t>
  </si>
  <si>
    <t>FoA+5 Whirlwind</t>
  </si>
  <si>
    <t>FoA+5 Crom Faeyr</t>
  </si>
  <si>
    <t>FoA+5 Celestial Fury</t>
  </si>
  <si>
    <t>FoA+5 Gnasher</t>
  </si>
  <si>
    <t>FoA+5 Jhor the Bleeder</t>
  </si>
  <si>
    <t>STR</t>
  </si>
  <si>
    <t>Gnasher Jhor the Bleeder</t>
  </si>
  <si>
    <t>Epic Levels</t>
  </si>
  <si>
    <t>Druid</t>
  </si>
  <si>
    <t>Cleric</t>
  </si>
  <si>
    <t>Druid, Cleric</t>
  </si>
  <si>
    <t>Druid and/or Cleric compatible</t>
  </si>
  <si>
    <t>style</t>
  </si>
  <si>
    <t>Arrows of Detonation with save Whirlwind</t>
  </si>
  <si>
    <t>Arrows of Detonation with save</t>
  </si>
  <si>
    <t>using improved haste</t>
  </si>
  <si>
    <t>for Arrows of Detonation, using Strong Arm with Whirlwind and Tuigan Bow without Whirlwind</t>
  </si>
  <si>
    <t>In SoA at normal levels, the druid can deal more damage: 195.5 to 183.</t>
  </si>
  <si>
    <t>In SoA at epic levels, the druid can deal more damage: 265 to 240.</t>
  </si>
  <si>
    <t>In ToB at normal levels, the cleric can do more damage: 237 to 195.5.</t>
  </si>
  <si>
    <t>In ToB at epic levels, the cleric can do more damage: 285 to 280.</t>
  </si>
  <si>
    <t>Ixil's Nail without save</t>
  </si>
  <si>
    <t>Ixil's Nail with save</t>
  </si>
  <si>
    <t>Ixil's Nail without save Whirlwind</t>
  </si>
  <si>
    <t>Ixil's Nail with save whirlwind</t>
  </si>
  <si>
    <t>with save</t>
  </si>
  <si>
    <t>without save</t>
  </si>
  <si>
    <t>In ToB at normal levels, the druid can do more damage: 264 to 237.</t>
  </si>
  <si>
    <t>In ToB at epic levels, the druid can do more damage: 440 to 285.</t>
  </si>
  <si>
    <t>all figures 19 STR, base 3 attacks per round, haste, specialization, two-handed weapon style, whirlwind available</t>
  </si>
  <si>
    <t>Fighter/Druid vs. Ranger/Cleric or Fighter/Cleric</t>
  </si>
  <si>
    <t>Early in the game, given the accessibility of Belm and Gnasher, the druid has the advantage.</t>
  </si>
  <si>
    <t>When we hit epic levels, the druid has the advantage with Impaler and Whirlwind.</t>
  </si>
  <si>
    <t>Later, when we get FoA, DUHM will make the two even.</t>
  </si>
  <si>
    <t>After the Underdark, when we get Crom Faeyr, the cleric has the advantage.</t>
  </si>
  <si>
    <t>Considering spell options and spell slots:</t>
  </si>
  <si>
    <t>Early game</t>
  </si>
  <si>
    <t>Midgame</t>
  </si>
  <si>
    <t>Epic levels</t>
  </si>
  <si>
    <t>Maxed levels</t>
  </si>
  <si>
    <t>Fighter/Druid, Ranger/Cleric, Fighter/Cleric</t>
  </si>
  <si>
    <t>Ranger/Cleric, Fighter/Druid, Fighter/Cleric</t>
  </si>
  <si>
    <t>The druid is better suited to smaller parties or solo games.</t>
  </si>
  <si>
    <t>The bard's songs add damage to the whole party, so each adds 24 to damage for the group overall.</t>
  </si>
  <si>
    <t>That makes 120 to hit and damage for the group overall.</t>
  </si>
  <si>
    <t>Scorcher with save</t>
  </si>
  <si>
    <t>Scorcher without save</t>
  </si>
  <si>
    <t>Scorcher without save Whirlwind</t>
  </si>
  <si>
    <t>Monk fist</t>
  </si>
  <si>
    <t>Monk fist Whirlwind</t>
  </si>
  <si>
    <t>Scorcher with save Whirlwind</t>
  </si>
  <si>
    <t>Wish-resting via scrolls: costs 3 rounds for a party member to cast the spell</t>
  </si>
  <si>
    <t>Ixil</t>
  </si>
  <si>
    <t>full party</t>
  </si>
  <si>
    <t>Minute Meteors</t>
  </si>
  <si>
    <t>Very late game, with the girdle of fire giant strength, DUHM, Ixil's Nail and FoA+5, the druid has the advantage except when dealing with enemies with low saving throws.</t>
  </si>
  <si>
    <t>average</t>
  </si>
  <si>
    <t>total damage for one mage, most spells</t>
  </si>
  <si>
    <t>party</t>
  </si>
  <si>
    <t>3 misleads</t>
  </si>
  <si>
    <t>2 misleads</t>
  </si>
  <si>
    <t>1 mislead</t>
  </si>
  <si>
    <t>base</t>
  </si>
  <si>
    <t>standard</t>
  </si>
  <si>
    <t>sorceror to kensai</t>
  </si>
  <si>
    <t>kensai/mage</t>
  </si>
  <si>
    <t>dual wielding Belm, Improved Haste</t>
  </si>
  <si>
    <t>FoA+5, Whirlwind</t>
  </si>
  <si>
    <t>Minute Meteors only</t>
  </si>
  <si>
    <t>6 misleads</t>
  </si>
  <si>
    <t>9 misleads (Vhailor's helm's simulacrum's spells)</t>
  </si>
  <si>
    <t>maxed misleads (6 base, plus 3 simulacrum, plus 15 simulacrum scrolls, 24 total)</t>
  </si>
  <si>
    <t>damage per round with bard song party</t>
  </si>
  <si>
    <t>misleads</t>
  </si>
  <si>
    <t>simulacrum misleads</t>
  </si>
  <si>
    <t>characters</t>
  </si>
  <si>
    <t>simulacrums</t>
  </si>
  <si>
    <t>mislead bonus</t>
  </si>
  <si>
    <t>damage per hit</t>
  </si>
  <si>
    <t>simulacrums (bards)</t>
  </si>
  <si>
    <t>simulacrums (others)</t>
  </si>
  <si>
    <t>total</t>
  </si>
  <si>
    <t>enchantment</t>
  </si>
  <si>
    <t>elemental</t>
  </si>
  <si>
    <t>kensai party with FoA:</t>
  </si>
  <si>
    <t>kensai party with Ixil's Nail:</t>
  </si>
  <si>
    <t>maxed:</t>
  </si>
  <si>
    <t>if we switch the bards to using Minute Meteors and use simulacrums:</t>
  </si>
  <si>
    <t>all bard party with Wish-rest, contingency, chain contingency, and spell trigger from scrolls:</t>
  </si>
  <si>
    <t>minute meteor base damage</t>
  </si>
  <si>
    <t>party misleads</t>
  </si>
  <si>
    <t>5 characters cast Chain Contingencies from scrolls while in battle. The 6th uses Wish scrolls to restore spells</t>
  </si>
  <si>
    <t>6th member misleads</t>
  </si>
  <si>
    <t>disregarding damage cap</t>
  </si>
  <si>
    <t>damage cap</t>
  </si>
  <si>
    <t>So the party only gets 18 rounds to cast Misleads, and the simulacrums get 17.</t>
  </si>
  <si>
    <t>Mage/Clerics (18/30) can cast at best 8 Sunray spells in one round with Improved Alacrity.</t>
  </si>
  <si>
    <t>In order for the Cleric/Mage party to do more damage than the bard party, it would have to have at least 3 undead targets.</t>
  </si>
  <si>
    <t>Ixil no save</t>
  </si>
  <si>
    <t>Ixil with save</t>
  </si>
  <si>
    <t>FoA+5</t>
  </si>
  <si>
    <t>Single-class</t>
  </si>
  <si>
    <t>Multi-class</t>
  </si>
  <si>
    <t>Dual-class</t>
  </si>
  <si>
    <t>FoA+5 Runehammer</t>
  </si>
  <si>
    <t>If we have Girdle of Fire Giant Strength and use DUHM and Improved Haste</t>
  </si>
  <si>
    <t>Multi-class with Whirlwind</t>
  </si>
  <si>
    <t>Gnasher</t>
  </si>
  <si>
    <t>Ixil with save and FoA difference</t>
  </si>
  <si>
    <t>Ixil no save bonus</t>
  </si>
  <si>
    <t>ratio</t>
  </si>
  <si>
    <t>Ixil half save on average</t>
  </si>
  <si>
    <t>In order for the Fighter/Druid to match the Fighter/Cleric in damage, the enemy would have to save just less than half of the time.</t>
  </si>
  <si>
    <t>With Greater Malison and Doom, the enemy's save vs. death would have to be 3 or more at base.</t>
  </si>
  <si>
    <t>The unconsciousness effect of Ixil's Nail would activate more often than the FoA's slow effect if the enemy's save is 1 or more.</t>
  </si>
  <si>
    <t>Looking at save tables in DLTCEP, the Fighter/Druid will be more effective except when dealing with enemy clerics or monks.</t>
  </si>
  <si>
    <t>Belm Belm</t>
  </si>
  <si>
    <t>As for dual-classed characters, they are still basically even, since the Fighter/Druid will be using Gnasher and Belm</t>
  </si>
  <si>
    <t>Kensai dual class</t>
  </si>
  <si>
    <t>This is kensai dualing at 20 for druid and 21 for cleric</t>
  </si>
  <si>
    <t>If we dual at 21 for both, the kensai/druid is 0.5 damage short of the kensai/cleric</t>
  </si>
  <si>
    <t>Dual R/C: cleric and druid spells and cleric HLAs</t>
  </si>
  <si>
    <t>Dual K/D: +8 to damage (7 kensai plus proficency), only druid spells and HLAs</t>
  </si>
  <si>
    <t>Multi R/C: cleric and druid spells and fighter and cleric HLAs</t>
  </si>
  <si>
    <t>Multi F/D: druid spells and fighter and cleric HLAs</t>
  </si>
  <si>
    <t>DKD Gnasher Belm</t>
  </si>
  <si>
    <t>DKD Ixil average (malison and doom)</t>
  </si>
  <si>
    <t>MFD Gnasher Belm</t>
  </si>
  <si>
    <t>MFD Gnasher Whirlwind</t>
  </si>
  <si>
    <t>MFD Ixil average</t>
  </si>
  <si>
    <t>MFD Ixil average Whirlwind</t>
  </si>
  <si>
    <t>DKC FoA FoA</t>
  </si>
  <si>
    <t>DRC FoA FoA</t>
  </si>
  <si>
    <t>MRC FoA FoA</t>
  </si>
  <si>
    <t>MRC FoA Whirlwind</t>
  </si>
  <si>
    <t>DKC Staff of the Ram</t>
  </si>
  <si>
    <t>DRC Staff of the Ram</t>
  </si>
  <si>
    <t>DKD Staff of the Ram</t>
  </si>
  <si>
    <t>MRC Staff of the Ram</t>
  </si>
  <si>
    <t>MFD Staff of the Ram</t>
  </si>
  <si>
    <t>MFD Staff of the Ram Whirlwind</t>
  </si>
  <si>
    <t>MRC Staff of the Ram Whirlwind</t>
  </si>
  <si>
    <t>it takes one round for the bard song to take effect, the mislead spells only last 20 rounds, and the simulacrums need an extra round to cast Minute Meteors.</t>
  </si>
  <si>
    <t>belm in off hand</t>
  </si>
  <si>
    <t>switch bard to kensai</t>
  </si>
  <si>
    <t>Kensai v Kensai/Mage</t>
  </si>
  <si>
    <t>Kensai(13)/Mage</t>
  </si>
  <si>
    <t>Kensai(40)</t>
  </si>
  <si>
    <t>Belm</t>
  </si>
  <si>
    <t>Belm attacks</t>
  </si>
  <si>
    <t>Crom Faeyr</t>
  </si>
  <si>
    <t>Crom Faeyr attacks</t>
  </si>
  <si>
    <t>FoA+5 and Belm</t>
  </si>
  <si>
    <t>FoA+5 and Crom Faeyr</t>
  </si>
  <si>
    <t>Whirlwind attack</t>
  </si>
  <si>
    <t>Improved Haste</t>
  </si>
  <si>
    <t>Kensai advantage, as a percent bonus in physical damage per round:</t>
  </si>
  <si>
    <t>Maxed out, the Kensai does about 50% more damage than the Kensai/Mage.</t>
  </si>
  <si>
    <t>However, the Kensai/Mage should be able to do more damage overall if we have multiple targets to cast spells on.</t>
  </si>
  <si>
    <t>Hitting three or four targets with a Dragon's Breath spell would be sufficient to equalize damage, if only for one round.</t>
  </si>
  <si>
    <t>Also, before the characters max out their levels, the kensai gets fewer bonuses and it therefore does only 30-40% more damage.</t>
  </si>
  <si>
    <t>Still, in TOB, the kensai will be more versatile in using weapons, since it can get 10 attacks per round with any weapon and its THAC0 penalties from lack of proficiency points will be irrelevant.</t>
  </si>
  <si>
    <t>The Kensai/Mage should only have enough proficiency points to specialize in 4 weapon types plus two-weapon fighting.</t>
  </si>
  <si>
    <t>Axe of the Unyielding</t>
  </si>
  <si>
    <t>Psion's Blade/Gram the Sword of Grief</t>
  </si>
  <si>
    <t>Jhor the Bleeder</t>
  </si>
  <si>
    <t>Belm/Spectral Brand</t>
  </si>
  <si>
    <t>Flail of Ages, Ice Star</t>
  </si>
  <si>
    <t>Staff of the Magi/Staff of the Ram/Staff of Fire</t>
  </si>
  <si>
    <t>Storm Star/Mace of Disruption</t>
  </si>
  <si>
    <t>Angurvadal/Equalizer</t>
  </si>
  <si>
    <t>Celestial Fury/Hindo's Doom</t>
  </si>
  <si>
    <t>The Kensai can also be a Dwarf, which would give +5 to the kensai's save vs. death, wand, and spell, assuming 18 CON.</t>
  </si>
  <si>
    <t>There are perhaps 10 weapon types the character should be interested in. The notable weapons are:</t>
  </si>
  <si>
    <t>Spear of Kuldahar/Ixil's Nail</t>
  </si>
  <si>
    <t>The Kensai also gets more HP per level, 3 HP/level after level 9 instead of the mage's 1 HP/level.</t>
  </si>
  <si>
    <t>The Kensai/mage might have HP in the 140s at epic levels. A dwarven Kensai would have 188. The difference would widen later on.</t>
  </si>
  <si>
    <t>The Kensai also gains access to Hardiness and Magic Resistance, which will compensate for spell protections.</t>
  </si>
  <si>
    <t>Considering all the various abilities available to mages, the kensai/mage should come out ahead when considered individually.</t>
  </si>
  <si>
    <t>The Kensai is probably more valuable as part of a group, however, since multiple mages in one party create redundancies. A party should ideally have a sorceror, and the kensai would be the better complement to that.</t>
  </si>
  <si>
    <t>Tuigan Bow Improved Haste</t>
  </si>
  <si>
    <t>Strongarm Improved Haste</t>
  </si>
  <si>
    <t>Firetooth Improved Haste</t>
  </si>
  <si>
    <t>Tuigan Bow Whirlwind</t>
  </si>
  <si>
    <t>Strongarm Whirlwind</t>
  </si>
  <si>
    <t>Firetooth Whirlwind</t>
  </si>
  <si>
    <t>Giant Hair Crossbow Improved Haste</t>
  </si>
  <si>
    <t>Giant Hair Crossbow Whirlwind</t>
  </si>
  <si>
    <t>Light Crossbow of Speed Whirlwind</t>
  </si>
  <si>
    <t>Light Crossbow of Speed Improved Haste</t>
  </si>
  <si>
    <t>Heavy Crossbow of Searing Improved Haste</t>
  </si>
  <si>
    <t>Heavy Crossbow of Searing Whirlwind</t>
  </si>
  <si>
    <t>Heavy Crossbow+3 does the same</t>
  </si>
  <si>
    <t>Short Bow of Gesen Improved Haste</t>
  </si>
  <si>
    <t>Short Bow of Gesen Whirlwind</t>
  </si>
  <si>
    <t>Archer weapons comparison</t>
  </si>
  <si>
    <t>Assuming level 15 (even for Whirlwind) and maxed proficiency</t>
  </si>
  <si>
    <t>Whirlwind</t>
  </si>
  <si>
    <t>Impaler Improved Haste</t>
  </si>
  <si>
    <t>Assuming 18/00 STR and maxed proficiency.</t>
  </si>
  <si>
    <t>Azuredge Improved Haste</t>
  </si>
  <si>
    <t>Azuredge Whirlwind</t>
  </si>
  <si>
    <t>Namarra Whirlwind</t>
  </si>
  <si>
    <t>Namarra Improved Haste</t>
  </si>
  <si>
    <t>Jhor the Bleeder Improved Haste</t>
  </si>
  <si>
    <t>Lilarcor Improved Haste</t>
  </si>
  <si>
    <t>Lilarcor Whirlwind</t>
  </si>
  <si>
    <t>Jhor the Bleeder (15) Improved Haste</t>
  </si>
  <si>
    <t>Jhor the Bleeder (15) Whirlwind</t>
  </si>
  <si>
    <t>Comparison with non-kensai melee fighters using average-strength weapons.</t>
  </si>
  <si>
    <t>Dart Improved Haste</t>
  </si>
  <si>
    <t>Crimson Dart Improved Haste</t>
  </si>
  <si>
    <t>Dart Whirlwind</t>
  </si>
  <si>
    <t>Crimson Dart Whirlwind</t>
  </si>
  <si>
    <t>Sling of Seeking Improved Haste</t>
  </si>
  <si>
    <t>Sling of Seeking Whirlwind</t>
  </si>
  <si>
    <t>Sling of Arvoreen Improved Haste</t>
  </si>
  <si>
    <t>Sling of Arvoreen Whirlwind</t>
  </si>
  <si>
    <t>Erinne's Sling Improved Haste</t>
  </si>
  <si>
    <t>Erinne's Sling Whirlwind</t>
  </si>
  <si>
    <t>Sling of Everard Improved Haste</t>
  </si>
  <si>
    <t>Sling of Everard Whirlwind</t>
  </si>
  <si>
    <t>Scorcher Ammunition Improved Haste</t>
  </si>
  <si>
    <t>Scorcher Ammunition Whirlwind</t>
  </si>
  <si>
    <t>Scorcher Ammunition Improved Haste no save</t>
  </si>
  <si>
    <t>Scorcher Ammunition Whirlwind no save</t>
  </si>
  <si>
    <t>The best weapons for archers are slings, at least for single targets. But this only applies to later levels.</t>
  </si>
  <si>
    <t>At earlier levels, it is fairly even between the Crimson Dart, Tuigan Bow, Sling of Seeking/Everard, and Firetooth.</t>
  </si>
  <si>
    <t>If we don't need magical ammunition, then darts would be better than other earlier options, since they benefit from STR bonuses.</t>
  </si>
  <si>
    <t>Without Whirlwind</t>
  </si>
  <si>
    <t>So Ixil's Nail is actually the better disabler, despite offering a saving throw.</t>
  </si>
  <si>
    <t>Not sure if Jhor the Bleeder's poison effect is 10 or 15. I saw 15, but that might have been a mod-introduced change.</t>
  </si>
  <si>
    <t>Add 3 for Acid Arrows. Add 2 for Bullets+2. Add 4 for Bullets+4. Add 5 for Bolts of Lightning, 10 without save.</t>
  </si>
  <si>
    <t>Assuming 22 STR, full specialization, enemy saving throw at 10 with or without Malison and/or Doom.</t>
  </si>
  <si>
    <t>Scorcher Ammunition 1/2 save</t>
  </si>
  <si>
    <t>Scorcher Ammunition 1/2 save two enemies</t>
  </si>
  <si>
    <t>Scorcher Ammunition 1/2 save three enemies</t>
  </si>
  <si>
    <t>Sling of Seeking +4 bullets whirlwind</t>
  </si>
  <si>
    <t>Firetooth Bolt of Lightning no save Whirlwind</t>
  </si>
  <si>
    <t>Firetooth Bolt of Lightning 1/2 save Whirlwind</t>
  </si>
  <si>
    <t>Firetooth Bolt of Lightning with save Whirlwind</t>
  </si>
  <si>
    <r>
      <rPr>
        <sz val="11"/>
        <color rgb="FF0070C0"/>
        <rFont val="Calibri"/>
        <family val="2"/>
        <scheme val="minor"/>
      </rPr>
      <t>Kensai</t>
    </r>
    <r>
      <rPr>
        <sz val="11"/>
        <color theme="1"/>
        <rFont val="Calibri"/>
        <family val="2"/>
        <scheme val="minor"/>
      </rPr>
      <t xml:space="preserve"> vs. </t>
    </r>
    <r>
      <rPr>
        <sz val="11"/>
        <color theme="9" tint="-0.499984740745262"/>
        <rFont val="Calibri"/>
        <family val="2"/>
        <scheme val="minor"/>
      </rPr>
      <t>Archer</t>
    </r>
  </si>
  <si>
    <t>However, the Archer still has more potential when dealing with multiple targets.</t>
  </si>
  <si>
    <t>Scorcher Ammunition with save</t>
  </si>
  <si>
    <t>If the target makes its save half the time, there have to be 3 targets to exceed the kensai's damage.</t>
  </si>
  <si>
    <t>If the target never makes its save, there only need to be 2 targets.</t>
  </si>
  <si>
    <t>If the target always make its save, there need to be 4 targets.</t>
  </si>
  <si>
    <t>Kensai THAC0 max:</t>
  </si>
  <si>
    <t>Archer THAC0 max:</t>
  </si>
  <si>
    <t>Note that the Scorcher Ammunition does 1d12 no save plus 1d12 with save, and strikes twice because it uses the aganazzar's scorcher animation.</t>
  </si>
  <si>
    <t>Kensai party:</t>
  </si>
  <si>
    <t>Archer Party:</t>
  </si>
  <si>
    <t>Note also that the Archer party can heal itself if it has over 100 fire resistance.</t>
  </si>
  <si>
    <t>Dragon Helm (25), Aeger's Hide (15), Ring of Fire Control (50), Ring of Fire Resistance (40) makes 130, I believe capped at 127.</t>
  </si>
  <si>
    <t>Each hit on the party heals 1 damage. One party member at best could regenerate 100 HP per round, if all other characters were striking him or her, assuming all saves were made, which should be the case.</t>
  </si>
  <si>
    <t>Lightning Bolt Spell</t>
  </si>
  <si>
    <t>Wand of Lightning</t>
  </si>
  <si>
    <t>save</t>
  </si>
  <si>
    <t>no save</t>
  </si>
  <si>
    <t>10d6</t>
  </si>
  <si>
    <t>5d6</t>
  </si>
  <si>
    <t>18d6</t>
  </si>
  <si>
    <t>6d6</t>
  </si>
  <si>
    <t>one hit</t>
  </si>
  <si>
    <t>two hits</t>
  </si>
  <si>
    <t>three hits</t>
  </si>
  <si>
    <t>Skull Trap</t>
  </si>
  <si>
    <t>20d6</t>
  </si>
  <si>
    <t>Only in close quarters can the lightning wand surpass the Skull Trap, and the lightning bolt spell needs even more hits per bolt to surpass the Skull Trap.</t>
  </si>
  <si>
    <t>18d6 per charge</t>
  </si>
  <si>
    <t>6d6 per charge</t>
  </si>
  <si>
    <t>Spell Sequencer/ Spell Trigger Skull Trap</t>
  </si>
  <si>
    <t>60d6</t>
  </si>
  <si>
    <t>30d6</t>
  </si>
  <si>
    <t>1 member</t>
  </si>
  <si>
    <t>108d6</t>
  </si>
  <si>
    <t>36d6</t>
  </si>
  <si>
    <t>120d6</t>
  </si>
  <si>
    <t>360d6</t>
  </si>
  <si>
    <t>180d6</t>
  </si>
  <si>
    <t>1 hit</t>
  </si>
  <si>
    <t>For one charge:</t>
  </si>
  <si>
    <t>Comparison when using infinite loop and lightning wands for whole party:</t>
  </si>
  <si>
    <t>2 hits</t>
  </si>
  <si>
    <t>3 hits</t>
  </si>
  <si>
    <t>4 hits</t>
  </si>
  <si>
    <t>5 hits</t>
  </si>
  <si>
    <t>For 3 charges:</t>
  </si>
  <si>
    <t>324d6</t>
  </si>
  <si>
    <t>The infinite loop requires multiple hits and/or multiple charges to surpass the Skull Trap.</t>
  </si>
  <si>
    <t>Let's assume the target makes its save. That will swing the damage in favor of the Skull Trap.</t>
  </si>
  <si>
    <t>Assuming we only expend one charge of the lightning wand, we require five hits to surpass the Skull Trap.</t>
  </si>
  <si>
    <t>If we expend three charges, we only need to hit the target twice.</t>
  </si>
  <si>
    <t>For 5 charges:</t>
  </si>
  <si>
    <t>540d6</t>
  </si>
  <si>
    <t>Since the infinite loop can be combined with other spells, including Skull Traps, maximizing spell damage should include the infinite loop unless the target is more resistant to electricity damage than other spells.</t>
  </si>
  <si>
    <t>However, the lightning bolts will kill essentially any summons within a round, if we expend much of any charges on the loop.</t>
  </si>
  <si>
    <t>For all 50 charges:</t>
  </si>
  <si>
    <t>If each character carries and uses 18 wands (filling up quick item slots and inventory slots), and we expend all wands' 50 charges on the loops, we get the following numbers:</t>
  </si>
  <si>
    <t>1080d6</t>
  </si>
  <si>
    <t>8640d6</t>
  </si>
  <si>
    <t>6480d6</t>
  </si>
  <si>
    <t>Note that the bard song party's total damage per round is 18240.</t>
  </si>
  <si>
    <t>Note that a Conjurer/Cleric party can do about 69318 damage per round if we are dealing with an undead target.</t>
  </si>
  <si>
    <t>If we get the lightning bolts to hit 5 times and the saving throw always fails, a Conjurer/Cleric party using the infinite loop should be able to do about 409518 damage per round.</t>
  </si>
  <si>
    <t>If we keep some lightning bolts in a Bag of Holding, or use some that have been left on the ground, we could multiply that number further.</t>
  </si>
  <si>
    <t>Dividing 340200 by 18 should yield the amount of damage one fully charged lightning wand can do, if each character has one.</t>
  </si>
  <si>
    <t>So, if a party used 50 wands each, we would do 18900*50 damage.</t>
  </si>
  <si>
    <t>Let's add in the Conjurer/Cleric's spells. That's 945000+69318.</t>
  </si>
  <si>
    <t>Since the lightning bolts hit for less than 6 damage at a time, the damage cap should not affect the lightning bolts.</t>
  </si>
  <si>
    <t>If we don't want to use any spells or weapons or traps of our own, we would need more wands to reach 1 million damage.</t>
  </si>
  <si>
    <t>Specifically, we need 53 wands per character. That's 318 wands total. That would require a great deal of duplicating and dropping wands on the ground.</t>
  </si>
  <si>
    <t>Using 53 wands per character, assuming 5 strike per lightning bolt:</t>
  </si>
  <si>
    <t>Five strikes is a bit extreme. Let's say we only get two strikes.</t>
  </si>
  <si>
    <t>Multiplying the above number by 0.4 should give us the value of two strikes instead of five:</t>
  </si>
  <si>
    <t>If we include Conjurer/Cleric spells, we need 124 wands per character to reach 1 million damage.</t>
  </si>
  <si>
    <t>That's 744 wands total.</t>
  </si>
  <si>
    <t>If we don't include Conjurer/Cleric spells, we need 133 wands each.</t>
  </si>
  <si>
    <t>That's 798 wands total.</t>
  </si>
  <si>
    <t>So, to exceed 1 million damage per round, we need well over 700 wands of lightning to do so.</t>
  </si>
  <si>
    <t>Since the game might have to calculate 37200 or 39900 lightning bolts active at one time, it might be impossible to make this happen without the game crashing.</t>
  </si>
  <si>
    <t>Still, 1 million damage per round is possible.</t>
  </si>
  <si>
    <t>Lightning bolt potential:</t>
  </si>
  <si>
    <t>bounces</t>
  </si>
  <si>
    <t>Adding traps before the ToB limit on 7 traps per area could also reach this level.</t>
  </si>
  <si>
    <t>The Kensai has the distinct advantage against single targets.</t>
  </si>
  <si>
    <t>level 40 (base 0), Firetooth (7), Scorcher Ammunition (10), 19 DEX (3), max proficiency (3)</t>
  </si>
  <si>
    <t>level 40 (base 0), +6 weapon (6), 25 STR (7), max proficiency (3)</t>
  </si>
  <si>
    <t>The weapon with the best potential for dealing damage to single targets and especially multiple targets, is the Scorcher Ammunition. Note that it does not appear to benefit from proficiency or Archer bonuses.</t>
  </si>
  <si>
    <t>Kensai, maxed stats and proficiencies:</t>
  </si>
  <si>
    <t>Ixil's Nail, no save</t>
  </si>
  <si>
    <t>Jhor the Bleeder (15)</t>
  </si>
  <si>
    <t>Ixil's Nail, save</t>
  </si>
  <si>
    <t>If it is 15, it would have the best potential of any weapon aside from Ixil's Nail without a save</t>
  </si>
  <si>
    <t>The Archer is completely inferior, however, when the enemy is resistant or immune to fire.</t>
  </si>
  <si>
    <t>Essentially, the only way the THAC0 of Archer and Kensai could make a difference is if they were blinded or had some other to hit penalty. -27 THAC0 is enough to hit -27 AC, the AC cap, 95% of the time.</t>
  </si>
  <si>
    <t>If we expend 10% of a lightning wand's charges (5 charges), the lightning bolts will do as much damage as a spell sequencer or spell trigger with three skull traps, if the target makes a save.</t>
  </si>
  <si>
    <t># uses</t>
  </si>
  <si>
    <t>percent chance survival</t>
  </si>
  <si>
    <t>1 round</t>
  </si>
  <si>
    <t>2 rounds</t>
  </si>
  <si>
    <t>3 rounds</t>
  </si>
  <si>
    <t>4 rounds</t>
  </si>
  <si>
    <t>chance of surviving Wand of Wonder's petrification effect:</t>
  </si>
  <si>
    <t>Ixil half save</t>
  </si>
  <si>
    <t>MR</t>
  </si>
  <si>
    <t>chance</t>
  </si>
  <si>
    <t>damage</t>
  </si>
  <si>
    <t>cumulative</t>
  </si>
  <si>
    <t>belm and gnasher</t>
  </si>
  <si>
    <t>impaler</t>
  </si>
  <si>
    <t>foa and crom faeyr</t>
  </si>
  <si>
    <t>celestial fury and frostreaver</t>
  </si>
  <si>
    <t>vorpal sword</t>
  </si>
  <si>
    <t>dragon's breath</t>
  </si>
  <si>
    <t>late game kensai setups</t>
  </si>
  <si>
    <t>base weapon damage</t>
  </si>
  <si>
    <t>enchantment bonuses</t>
  </si>
  <si>
    <t>total per hit</t>
  </si>
  <si>
    <t>APR</t>
  </si>
  <si>
    <t>off hand attack</t>
  </si>
  <si>
    <t>late game kensai setups, replacing one kensai with bard for song</t>
  </si>
  <si>
    <t>bard</t>
  </si>
  <si>
    <t>bard song</t>
  </si>
  <si>
    <t>effect of replacing kensai with bard in percentage damage change</t>
  </si>
  <si>
    <t>kensai/mage for haste</t>
  </si>
  <si>
    <t>Even if we have late-game kensais using the best weapons we can get, a bard song will be a net benefit to the party.</t>
  </si>
  <si>
    <t>We get a -1.3% decrease in damage but an extra 4 to AC. That is more than enough to compensate for the lost damage.</t>
  </si>
  <si>
    <t>what about 2 bards?</t>
  </si>
  <si>
    <t>change from extra bard</t>
  </si>
  <si>
    <t>2d6+2</t>
  </si>
  <si>
    <t>2d8+4</t>
  </si>
  <si>
    <t>2d12+8</t>
  </si>
  <si>
    <t>2d10+6</t>
  </si>
  <si>
    <t>2d20+10</t>
  </si>
  <si>
    <t>6n</t>
  </si>
  <si>
    <t>6t</t>
  </si>
  <si>
    <t>8m</t>
  </si>
  <si>
    <t>8q</t>
  </si>
  <si>
    <t>8r</t>
  </si>
  <si>
    <t>8s</t>
  </si>
  <si>
    <t>8t</t>
  </si>
  <si>
    <t>9l</t>
  </si>
  <si>
    <t>9g</t>
  </si>
  <si>
    <t>9f</t>
  </si>
  <si>
    <t>9e</t>
  </si>
  <si>
    <t>9d</t>
  </si>
  <si>
    <t>8u</t>
  </si>
  <si>
    <t>8v</t>
  </si>
  <si>
    <t>8w</t>
  </si>
  <si>
    <t>8x</t>
  </si>
  <si>
    <t>8y</t>
  </si>
  <si>
    <t>8z</t>
  </si>
  <si>
    <t>8a</t>
  </si>
  <si>
    <t>8b</t>
  </si>
  <si>
    <t>9a</t>
  </si>
  <si>
    <t>9b</t>
  </si>
  <si>
    <t>9c</t>
  </si>
  <si>
    <t>Cleric of Lathander(11)/Mage</t>
  </si>
  <si>
    <t>Shapeshifter</t>
  </si>
  <si>
    <t>Cleric of Helm(11)/Thief</t>
  </si>
  <si>
    <t>Conjurer(10)/Cleric</t>
  </si>
  <si>
    <t>Skald</t>
  </si>
  <si>
    <t>CLM</t>
  </si>
  <si>
    <t>SS</t>
  </si>
  <si>
    <t>SK</t>
  </si>
  <si>
    <t>CHT</t>
  </si>
  <si>
    <t>CC</t>
  </si>
  <si>
    <t>early game</t>
  </si>
  <si>
    <t>spider, staff spear</t>
  </si>
  <si>
    <t>midgame</t>
  </si>
  <si>
    <t>spider, BoL, flail of ages</t>
  </si>
  <si>
    <t>spider, BoL, staff spear</t>
  </si>
  <si>
    <t>late game</t>
  </si>
  <si>
    <t>iron golem, BoL, DoE</t>
  </si>
  <si>
    <t>endgame</t>
  </si>
  <si>
    <t>werewolf, belm</t>
  </si>
  <si>
    <t>greater werewolf, belm</t>
  </si>
  <si>
    <t>greater werewolf, impaler</t>
  </si>
  <si>
    <t>seeking sword</t>
  </si>
  <si>
    <t>seeking sword, RM</t>
  </si>
  <si>
    <t>seeking sword, belm, RM</t>
  </si>
  <si>
    <t>spider, staff of rynn, RM</t>
  </si>
  <si>
    <t>spider, light crossbow of speed</t>
  </si>
  <si>
    <t>spider, tuigan bow</t>
  </si>
  <si>
    <t>XP vs. level</t>
  </si>
  <si>
    <t>Fighter</t>
  </si>
  <si>
    <t>Mage</t>
  </si>
  <si>
    <t>Thief</t>
  </si>
  <si>
    <t>Bard</t>
  </si>
  <si>
    <t>Monk</t>
  </si>
  <si>
    <t>Paladin</t>
  </si>
  <si>
    <t>Ranger</t>
  </si>
  <si>
    <t>HLAs at 3.15 million</t>
  </si>
  <si>
    <t>HLAs at 3.08 million</t>
  </si>
  <si>
    <t>10, 6</t>
  </si>
  <si>
    <t>11, 7</t>
  </si>
  <si>
    <t>11, 10</t>
  </si>
  <si>
    <t>11, 12</t>
  </si>
  <si>
    <t>11, 13</t>
  </si>
  <si>
    <t>11, 16</t>
  </si>
  <si>
    <t>13, 0</t>
  </si>
  <si>
    <t>14, 0</t>
  </si>
  <si>
    <t>15, 0</t>
  </si>
  <si>
    <t>10,0</t>
  </si>
  <si>
    <t>12, 0</t>
  </si>
  <si>
    <t>10, 0</t>
  </si>
  <si>
    <t>9, 0</t>
  </si>
  <si>
    <t>8, 0</t>
  </si>
  <si>
    <t>11, 11</t>
  </si>
  <si>
    <t>11, 8</t>
  </si>
  <si>
    <t>11, 20</t>
  </si>
  <si>
    <t>10, 9</t>
  </si>
  <si>
    <t>10, 10</t>
  </si>
  <si>
    <t>10, 11</t>
  </si>
  <si>
    <t>10, 13</t>
  </si>
  <si>
    <t>10, 15</t>
  </si>
  <si>
    <t>10, 20</t>
  </si>
  <si>
    <t>11, 0</t>
  </si>
  <si>
    <t>16, 0</t>
  </si>
  <si>
    <t>19, 0</t>
  </si>
  <si>
    <t>23, 0</t>
  </si>
  <si>
    <t>recover at 1.425 million</t>
  </si>
  <si>
    <t>song +4 at 1.1 million</t>
  </si>
  <si>
    <t>greater form at 750,000</t>
  </si>
  <si>
    <t>recover at 1.115 million</t>
  </si>
  <si>
    <t>recover at 925,000</t>
  </si>
  <si>
    <t>cleric</t>
  </si>
  <si>
    <t>druid</t>
  </si>
  <si>
    <t>thief</t>
  </si>
  <si>
    <t>cleric/thief</t>
  </si>
  <si>
    <t>HLAs at 3.675 million</t>
  </si>
  <si>
    <t>HLAs at 3.755 million</t>
  </si>
  <si>
    <t>HLAs at 3.250 million</t>
  </si>
  <si>
    <t>HLAs at 3.000 million</t>
  </si>
  <si>
    <t>HLAs at 3.080 million</t>
  </si>
  <si>
    <t>Jan</t>
  </si>
  <si>
    <t>Charname</t>
  </si>
  <si>
    <t>Cernd</t>
  </si>
  <si>
    <t>Nalia</t>
  </si>
  <si>
    <t>Haer'dalis</t>
  </si>
  <si>
    <t>Imoen</t>
  </si>
  <si>
    <t>Viconia</t>
  </si>
  <si>
    <t>Aerie</t>
  </si>
  <si>
    <t>dex</t>
  </si>
  <si>
    <t>full plate</t>
  </si>
  <si>
    <t>full plate bonus</t>
  </si>
  <si>
    <t>song</t>
  </si>
  <si>
    <t>girdle of piercing</t>
  </si>
  <si>
    <t>sentinel</t>
  </si>
  <si>
    <t>helm of balduran</t>
  </si>
  <si>
    <t>ring of gaxx</t>
  </si>
  <si>
    <t>ring of earth control</t>
  </si>
  <si>
    <t>blue dragon plate</t>
  </si>
  <si>
    <t>cloak of the sewers</t>
  </si>
  <si>
    <t>cloak of protection +2</t>
  </si>
  <si>
    <t>defender of easthaven</t>
  </si>
  <si>
    <t>defensive harmony</t>
  </si>
  <si>
    <t>Two  Horrid Wilting spells will kill the Sword of Greed. A Magic Missile or two will finish it off.</t>
  </si>
  <si>
    <t>Iron Golem form will be more than sufficient to kill the Wraith of Wrath, with Time Stop.</t>
  </si>
  <si>
    <t>Time Stop will give at least 25 automatic attacks.</t>
  </si>
  <si>
    <t>Wraith of Wrath cannot be hit with our THAC0. It has -20 AC; our THAC0 is at best about 0.</t>
  </si>
  <si>
    <t>Orb of Fear and Dragon of Pride both not immune to INT drain.</t>
  </si>
  <si>
    <t>Wand of Spell Striking will remove PFMW, if necessary.</t>
  </si>
  <si>
    <t>Irenicus the Slayer will also have -20 AC. We need Time Stop to hurt it.</t>
  </si>
  <si>
    <t>Protection from Magic scrolls will negate both spellcasting forms of Irenicus. We need two Protection from Magic scrolls.</t>
  </si>
  <si>
    <t>Traps set by Jan in Irenicus' spawn spots will also kill him off.</t>
  </si>
  <si>
    <t>A single Time Trap will let Jan kill Irenicus, assuming we're around when he sets off the trap.</t>
  </si>
  <si>
    <t>level 7</t>
  </si>
  <si>
    <t>level 11</t>
  </si>
  <si>
    <t>level 15</t>
  </si>
  <si>
    <t>level 21</t>
  </si>
  <si>
    <t>Boon of Lathander</t>
  </si>
  <si>
    <t>per round</t>
  </si>
  <si>
    <t>Cleric of Lathander with FoA</t>
  </si>
  <si>
    <t>Fighter with FoA</t>
  </si>
  <si>
    <t>level 13</t>
  </si>
  <si>
    <t>cernd</t>
  </si>
  <si>
    <t>jan</t>
  </si>
  <si>
    <t>sil</t>
  </si>
  <si>
    <t>aerie</t>
  </si>
  <si>
    <t>imoen</t>
  </si>
  <si>
    <t>nalia</t>
  </si>
  <si>
    <t>haer'dalis</t>
  </si>
  <si>
    <t>minor sequencer</t>
  </si>
  <si>
    <t>sequencer</t>
  </si>
  <si>
    <t>cont</t>
  </si>
  <si>
    <t>project image x3</t>
  </si>
  <si>
    <t>polymorph other x3</t>
  </si>
  <si>
    <t>animate dead x3</t>
  </si>
  <si>
    <t>NPP</t>
  </si>
  <si>
    <t>PFMW</t>
  </si>
  <si>
    <t>blur</t>
  </si>
  <si>
    <t>doom, blindness</t>
  </si>
  <si>
    <t>shocking grasp, blur</t>
  </si>
  <si>
    <t>blindness, blindness</t>
  </si>
  <si>
    <t>limited wish for jan for triple feeblemind CC</t>
  </si>
  <si>
    <t>armor of faith, mirror image</t>
  </si>
  <si>
    <t>cure serious wounds x2, haste</t>
  </si>
  <si>
    <t>stoneskin</t>
  </si>
  <si>
    <t>blur, mirror image</t>
  </si>
  <si>
    <t>Sil can do 1008 damage with one Time Stop if she has both Boons of Lathander active plus Improved Haste.</t>
  </si>
  <si>
    <t>But she really needs this for Irenicus the Slayer.</t>
  </si>
  <si>
    <t>Nalia, dual-wielding Kundane</t>
  </si>
  <si>
    <t>Sil</t>
  </si>
  <si>
    <t>Nalia can do 513 if she's dual-wielding Kundane in Iron Golem form.</t>
  </si>
  <si>
    <t>Jan can do 92 in one Time Trap.</t>
  </si>
  <si>
    <t>Nalia can hit the Dragon of Pride with Lower Resistance and drain 24 DEX with one Time Stop.</t>
  </si>
  <si>
    <t>Jan can only kill the dragon with DEX drain if he's under Improved Haste and is able to attack every second of Time Trap.</t>
  </si>
  <si>
    <t>Nalia can do 298 damage with Usuno's Blade and Kundane under Improved Haste with one Time Stop.</t>
  </si>
  <si>
    <t>Nalia should cast Shapechange before activating her Chain Contingency.</t>
  </si>
  <si>
    <t>Then we have 4 clones, each of which can cast Time Stop once and do 513 damage after switching to Iron Golem form.</t>
  </si>
  <si>
    <t>The Robe of Vecna will actually shrink this, since they'll finish casting the spell early, and have to wait a bit before they can shapeshift.</t>
  </si>
  <si>
    <t>First, all of them have to cast Haste or Improved Haste. Improved Haste costs all of them one round. Haste costs Aerie one round.</t>
  </si>
  <si>
    <t>They only do 358.5 damage when simply hasted.</t>
  </si>
  <si>
    <t>Two other Nalia clones gang up on the Wraith of Wrath.</t>
  </si>
  <si>
    <t>So, one Nalia clone needs Improved Haste. Another character will provide. Three clones cast LR on the dragon.</t>
  </si>
  <si>
    <t>One clone then kills the Dragon of Pride during Time Stop.</t>
  </si>
  <si>
    <t>One clone is left, and switches to Iron Golem form to fight the Orb of Fear.</t>
  </si>
  <si>
    <t>She does about 100 damage. Sil deals the other 100 damage when in Iron Golem form.</t>
  </si>
  <si>
    <t>With the Guantlets of Weapon Skill, Helm of Balduran, Righteous Magic, and base THAC0 of 14 at level 19, she has 3 THAC0 in Iron Golem form.</t>
  </si>
  <si>
    <t>Sil does 50.4 damage on average, even when under Improved Haste, due the Orb of Fear's 50% physical damage resistance and -11 AC.</t>
  </si>
  <si>
    <t>We therefore have a guaranteed kill against the dragon, wraith, and beholder within about 16 rounds, or maybe 4 rounds out of Time Stop.</t>
  </si>
  <si>
    <t>The Nalia clones all cast Horrid Wilting and kill the sword. Only Irenicus is left.</t>
  </si>
  <si>
    <t>We have expended the Time Stops of all of our clones, who will vanish within two rounds.</t>
  </si>
  <si>
    <t>Nalia and/or Sil can break down Irenicus' defenses with Improved Alacrity.</t>
  </si>
  <si>
    <t>Aerie uses Energy Blades, Jan uses Firetooth and +3 Bolts, and the others use their normal missile weapons, killing Irenicus in about two rounds.</t>
  </si>
  <si>
    <t>We have to add a little to this, since Sil can't afford to use her buffs quite yet.</t>
  </si>
  <si>
    <t>Then, we are left with Sil. She casts PFMW and then Improved Alacrity.</t>
  </si>
  <si>
    <t>Meanwhile, Jan should lay a few traps.</t>
  </si>
  <si>
    <t>She stacks Armor of Faith 7 times, adds Improved Haste, Boon of Lathander, another Boon of Lathander, then Righteous Magic.</t>
  </si>
  <si>
    <t>She will have just enough time left in Improved Alacrity to cast Time Stop, at which point she switches to Iron Golem form.</t>
  </si>
  <si>
    <t>She will do more than enough damage to kill Irenicus the Slayer.</t>
  </si>
  <si>
    <t>Finally, we are left with the final form. We use a Protection from Magic scroll on him.</t>
  </si>
  <si>
    <t>But he has 40% magic resistance. We'd need to hit him with Lower Resistance first, and do so we'd have to break through his defenses.</t>
  </si>
  <si>
    <t>ring protection +3</t>
  </si>
  <si>
    <t>protection from evil</t>
  </si>
  <si>
    <t>1.1 million XP</t>
  </si>
  <si>
    <t>1.32 million XP</t>
  </si>
  <si>
    <t>minor</t>
  </si>
  <si>
    <t>SG+DUHM</t>
  </si>
  <si>
    <t>AOF+AOF</t>
  </si>
  <si>
    <t>SG+Blur</t>
  </si>
  <si>
    <t>Mass Cure</t>
  </si>
  <si>
    <t>teleport field</t>
  </si>
  <si>
    <t>righteous magic, BoL, IH</t>
  </si>
  <si>
    <t>trigger</t>
  </si>
  <si>
    <t>armor of faith x3</t>
  </si>
  <si>
    <t>spell shield</t>
  </si>
  <si>
    <t>tenser</t>
  </si>
  <si>
    <t>pfmw</t>
  </si>
  <si>
    <t>goi</t>
  </si>
  <si>
    <t>prof mag en</t>
  </si>
  <si>
    <t>rror</t>
  </si>
  <si>
    <t>mordsword</t>
  </si>
  <si>
    <t>PI</t>
  </si>
  <si>
    <t>maze</t>
  </si>
  <si>
    <t>time stop</t>
  </si>
  <si>
    <t>cc</t>
  </si>
  <si>
    <t>spellstrike</t>
  </si>
  <si>
    <t>imprisonment</t>
  </si>
  <si>
    <t>spell trap</t>
  </si>
  <si>
    <t>rejiek</t>
  </si>
  <si>
    <t>solo cleric/mage</t>
  </si>
  <si>
    <t>de'arnise</t>
  </si>
  <si>
    <t>acorns</t>
  </si>
  <si>
    <t>hendak</t>
  </si>
  <si>
    <t>renfeld</t>
  </si>
  <si>
    <t>trademeet, all quests minus rejiek</t>
  </si>
  <si>
    <t>part of windspear hills</t>
  </si>
  <si>
    <t>part of unseeing eye</t>
  </si>
  <si>
    <t>mekrath</t>
  </si>
  <si>
    <t>shadow thieves up to mook</t>
  </si>
  <si>
    <t>part of renfeld</t>
  </si>
  <si>
    <t>planar prison</t>
  </si>
  <si>
    <t>finished unseeing eye</t>
  </si>
  <si>
    <t>shadow thieves up to gracen</t>
  </si>
  <si>
    <t>kangaxx</t>
  </si>
  <si>
    <t>up to shade lord</t>
  </si>
  <si>
    <t>de'Arnise Hold</t>
  </si>
  <si>
    <t>Druid Grove, halfway through Troll Mound</t>
  </si>
  <si>
    <t>dual-class</t>
  </si>
  <si>
    <t>return to Nalia for XP</t>
  </si>
  <si>
    <t>get through Temple Ruins to get rid of the quest items obtained there</t>
  </si>
  <si>
    <t>traps and locks beneath the graveyard</t>
  </si>
  <si>
    <t>wellyn</t>
  </si>
  <si>
    <t>kamir the paladin</t>
  </si>
  <si>
    <t>crypt king</t>
  </si>
  <si>
    <t>harper hold</t>
  </si>
  <si>
    <t>mae'var up to edwin</t>
  </si>
  <si>
    <t>skinner quest</t>
  </si>
  <si>
    <t>tirdir quest</t>
  </si>
  <si>
    <t>minor crypts in the graveyard</t>
  </si>
  <si>
    <t>called shot</t>
  </si>
  <si>
    <t>STR drain</t>
  </si>
  <si>
    <t>second</t>
  </si>
  <si>
    <t>skull trap x3</t>
  </si>
  <si>
    <t>mislead count</t>
  </si>
  <si>
    <t>level 18</t>
  </si>
  <si>
    <t>level 20</t>
  </si>
  <si>
    <t>Ring of Wizardry</t>
  </si>
  <si>
    <t>level 30</t>
  </si>
  <si>
    <t>level 38</t>
  </si>
  <si>
    <t>damage per round if using WoL trick, two bards</t>
  </si>
  <si>
    <t>total per round</t>
  </si>
  <si>
    <t>archers</t>
  </si>
  <si>
    <t>rounds</t>
  </si>
  <si>
    <t>archer</t>
  </si>
  <si>
    <t>poppy</t>
  </si>
  <si>
    <t>snowy tae</t>
  </si>
  <si>
    <t>spell</t>
  </si>
  <si>
    <t>death</t>
  </si>
  <si>
    <t>wands</t>
  </si>
  <si>
    <t>poly</t>
  </si>
  <si>
    <t>breath</t>
  </si>
  <si>
    <t>ring of protection +2</t>
  </si>
  <si>
    <t>earth control</t>
  </si>
  <si>
    <t>balduran</t>
  </si>
  <si>
    <t>displacement</t>
  </si>
  <si>
    <t>gaxx</t>
  </si>
  <si>
    <t>cloak of protection</t>
  </si>
  <si>
    <t>barkskin</t>
  </si>
  <si>
    <t>cs</t>
  </si>
  <si>
    <t>gww</t>
  </si>
  <si>
    <t>jester</t>
  </si>
  <si>
    <t>totemic druid</t>
  </si>
  <si>
    <t>hereen</t>
  </si>
  <si>
    <t>Sevelle</t>
  </si>
  <si>
    <t>kit</t>
  </si>
  <si>
    <t>kensai</t>
  </si>
  <si>
    <t>off hand</t>
  </si>
  <si>
    <t>THAC0</t>
  </si>
  <si>
    <t>class</t>
  </si>
  <si>
    <t>STR or DEX</t>
  </si>
  <si>
    <t>bracers</t>
  </si>
  <si>
    <t>firetooth</t>
  </si>
  <si>
    <t>tuigan bow</t>
  </si>
  <si>
    <t>prof</t>
  </si>
  <si>
    <t>darts +5</t>
  </si>
  <si>
    <t>light crossbow of speed</t>
  </si>
  <si>
    <t>shield</t>
  </si>
  <si>
    <t>mm</t>
  </si>
  <si>
    <t>spook</t>
  </si>
  <si>
    <t>pro pet</t>
  </si>
  <si>
    <t>blindness</t>
  </si>
  <si>
    <t>MI</t>
  </si>
  <si>
    <t>web</t>
  </si>
  <si>
    <t>acid arrow</t>
  </si>
  <si>
    <t>stinking cloud</t>
  </si>
  <si>
    <t>skull trap</t>
  </si>
  <si>
    <t>lightning bolt</t>
  </si>
  <si>
    <t>haste</t>
  </si>
  <si>
    <t>mmm</t>
  </si>
  <si>
    <t>slow</t>
  </si>
  <si>
    <t>stoneskins</t>
  </si>
  <si>
    <t>GM</t>
  </si>
  <si>
    <t>emotion</t>
  </si>
  <si>
    <t>breach</t>
  </si>
  <si>
    <t>SI</t>
  </si>
  <si>
    <t>sunfire</t>
  </si>
  <si>
    <t>animate dead</t>
  </si>
  <si>
    <t>feeblemind</t>
  </si>
  <si>
    <t>IH</t>
  </si>
  <si>
    <t>pierce magic</t>
  </si>
  <si>
    <t>pro magic energy</t>
  </si>
  <si>
    <t>death fog</t>
  </si>
  <si>
    <t>mordenkainen's sword</t>
  </si>
  <si>
    <t>project image</t>
  </si>
  <si>
    <t>spell sequencer</t>
  </si>
  <si>
    <t>limited wish</t>
  </si>
  <si>
    <t>spell turning</t>
  </si>
  <si>
    <t>ADHW</t>
  </si>
  <si>
    <t>simulacrum</t>
  </si>
  <si>
    <t>spell trigger</t>
  </si>
  <si>
    <t>PW: Blind</t>
  </si>
  <si>
    <t>shapechange</t>
  </si>
  <si>
    <t>Wish</t>
  </si>
  <si>
    <t>AoF</t>
  </si>
  <si>
    <t>remove fear</t>
  </si>
  <si>
    <t>command</t>
  </si>
  <si>
    <t>doom</t>
  </si>
  <si>
    <t>sanctuary</t>
  </si>
  <si>
    <t>cure light wounds</t>
  </si>
  <si>
    <t>DUHM</t>
  </si>
  <si>
    <t>hold person</t>
  </si>
  <si>
    <t>slow poison</t>
  </si>
  <si>
    <t>flame blade</t>
  </si>
  <si>
    <t>aid</t>
  </si>
  <si>
    <t>entangle</t>
  </si>
  <si>
    <t>resist fire/cold</t>
  </si>
  <si>
    <t>remove paralysis</t>
  </si>
  <si>
    <t>holy smite</t>
  </si>
  <si>
    <t>zone of sweet air</t>
  </si>
  <si>
    <t>cure disease</t>
  </si>
  <si>
    <t>dispel magic</t>
  </si>
  <si>
    <t>protection from fire</t>
  </si>
  <si>
    <t>strength of one</t>
  </si>
  <si>
    <t>cure medium wounds</t>
  </si>
  <si>
    <t>death ward</t>
  </si>
  <si>
    <t>protection from evil 10' radius</t>
  </si>
  <si>
    <t>holy power</t>
  </si>
  <si>
    <t>farsight</t>
  </si>
  <si>
    <t>lesser restoration</t>
  </si>
  <si>
    <t>call woodland beings</t>
  </si>
  <si>
    <t>protection from lightning</t>
  </si>
  <si>
    <t>animal summoning 1</t>
  </si>
  <si>
    <t>chaotic commands</t>
  </si>
  <si>
    <t>charm person or mammal</t>
  </si>
  <si>
    <t>raise dead</t>
  </si>
  <si>
    <t>ironskins</t>
  </si>
  <si>
    <t>insect plague</t>
  </si>
  <si>
    <t>greater command</t>
  </si>
  <si>
    <t>mass cure</t>
  </si>
  <si>
    <t>true seeing</t>
  </si>
  <si>
    <t>blade barrier</t>
  </si>
  <si>
    <t>heal</t>
  </si>
  <si>
    <t>wondrous recall</t>
  </si>
  <si>
    <t>harm</t>
  </si>
  <si>
    <t>aerial servant</t>
  </si>
  <si>
    <t>dolorous decay</t>
  </si>
  <si>
    <t>animal summoning 3</t>
  </si>
  <si>
    <t>conjure fire elemental</t>
  </si>
  <si>
    <t>earthquake</t>
  </si>
  <si>
    <t>creeping doom</t>
  </si>
  <si>
    <t>greater restoration</t>
  </si>
  <si>
    <t>resurrection</t>
  </si>
  <si>
    <t>holy word</t>
  </si>
  <si>
    <t>sunray</t>
  </si>
  <si>
    <t>shield of the archons</t>
  </si>
  <si>
    <t>fire storm</t>
  </si>
  <si>
    <t>nature's beauty</t>
  </si>
  <si>
    <t>chromatic orb</t>
  </si>
  <si>
    <t>armor</t>
  </si>
  <si>
    <t>charm person</t>
  </si>
  <si>
    <t>grease</t>
  </si>
  <si>
    <t>invisibility</t>
  </si>
  <si>
    <t>horror</t>
  </si>
  <si>
    <t>resist fear</t>
  </si>
  <si>
    <t>strength</t>
  </si>
  <si>
    <t>glitterdust</t>
  </si>
  <si>
    <t>fireball</t>
  </si>
  <si>
    <t>remove magic</t>
  </si>
  <si>
    <t>vampiric touch</t>
  </si>
  <si>
    <t>flame arrow</t>
  </si>
  <si>
    <t>invisibility 10' radius</t>
  </si>
  <si>
    <t>polymorph self</t>
  </si>
  <si>
    <t>confusion</t>
  </si>
  <si>
    <t>polymorph other</t>
  </si>
  <si>
    <t>secret word</t>
  </si>
  <si>
    <t>improved invisibility</t>
  </si>
  <si>
    <t>cone of cold</t>
  </si>
  <si>
    <t>cloudkill</t>
  </si>
  <si>
    <t>chaos</t>
  </si>
  <si>
    <t>hold monster</t>
  </si>
  <si>
    <t>protection from electricity</t>
  </si>
  <si>
    <t>true sight</t>
  </si>
  <si>
    <t>GOI</t>
  </si>
  <si>
    <t>mislead</t>
  </si>
  <si>
    <t>invisible stalker</t>
  </si>
  <si>
    <t>prismatic spray</t>
  </si>
  <si>
    <t>RRR</t>
  </si>
  <si>
    <t>sphere of chaos</t>
  </si>
  <si>
    <t>mantle</t>
  </si>
  <si>
    <t>finger of death</t>
  </si>
  <si>
    <t>incendiary cloud</t>
  </si>
  <si>
    <t>improved mantle</t>
  </si>
  <si>
    <t>summon fiend</t>
  </si>
  <si>
    <t>symbol stun</t>
  </si>
  <si>
    <t>pierce shield</t>
  </si>
  <si>
    <t>bigby's clenched fist</t>
  </si>
  <si>
    <t>black blade of disaster</t>
  </si>
  <si>
    <t>absolute immunity</t>
  </si>
  <si>
    <t>gate</t>
  </si>
  <si>
    <t>meteor swarm</t>
  </si>
  <si>
    <t>bless</t>
  </si>
  <si>
    <t>magic stone</t>
  </si>
  <si>
    <t>chant</t>
  </si>
  <si>
    <t>detect traps</t>
  </si>
  <si>
    <t>DBFB</t>
  </si>
  <si>
    <t>call lightning</t>
  </si>
  <si>
    <t>mental domination</t>
  </si>
  <si>
    <t>cure serious wounds</t>
  </si>
  <si>
    <t>magic resistance</t>
  </si>
  <si>
    <t>slay living</t>
  </si>
  <si>
    <t>pixie dust</t>
  </si>
  <si>
    <t>flame strike</t>
  </si>
  <si>
    <t>cure critical wounds</t>
  </si>
  <si>
    <t>cause medium wounds</t>
  </si>
  <si>
    <t>cause serious wounds</t>
  </si>
  <si>
    <t>cause critical wounds</t>
  </si>
  <si>
    <t>animal summoning 2</t>
  </si>
  <si>
    <t>sol's searing orb</t>
  </si>
  <si>
    <t>fire seeds</t>
  </si>
  <si>
    <t>conjure animals</t>
  </si>
  <si>
    <t>false dawn</t>
  </si>
  <si>
    <t>regeneration</t>
  </si>
  <si>
    <t>conjure earth elemental</t>
  </si>
  <si>
    <t>inquisitor</t>
  </si>
  <si>
    <t>conjurer</t>
  </si>
  <si>
    <t>cleric of lathander</t>
  </si>
  <si>
    <t>avenger</t>
  </si>
  <si>
    <t>bounty hunter</t>
  </si>
  <si>
    <t>skald</t>
  </si>
  <si>
    <t>carsomyr</t>
  </si>
  <si>
    <t>soul reaver</t>
  </si>
  <si>
    <t>silver sword</t>
  </si>
  <si>
    <t>staff of the magi</t>
  </si>
  <si>
    <t>staff of the ram</t>
  </si>
  <si>
    <t>kundane</t>
  </si>
  <si>
    <t>scarlet ninja-to</t>
  </si>
  <si>
    <t>flail of ages</t>
  </si>
  <si>
    <t>crom faeyr</t>
  </si>
  <si>
    <t>gnasher</t>
  </si>
  <si>
    <t>dart +5</t>
  </si>
  <si>
    <t>sling of everard</t>
  </si>
  <si>
    <t>axe of the unyielding</t>
  </si>
  <si>
    <t>strong arm</t>
  </si>
  <si>
    <t>storm star</t>
  </si>
  <si>
    <t>cloak of mirroring</t>
  </si>
  <si>
    <t>amulet of power</t>
  </si>
  <si>
    <t>robe of vecna</t>
  </si>
  <si>
    <t>human flesh</t>
  </si>
  <si>
    <t>corthala family armor</t>
  </si>
  <si>
    <t>the night's gift</t>
  </si>
  <si>
    <t>bladesinger chain</t>
  </si>
  <si>
    <t>gorgon plate</t>
  </si>
  <si>
    <t>armor of faith</t>
  </si>
  <si>
    <t>shield of the lost</t>
  </si>
  <si>
    <t>vhailor's helm</t>
  </si>
  <si>
    <t>gauntlets of extraordinary specialization</t>
  </si>
  <si>
    <t>gauntlets of weapon skill</t>
  </si>
  <si>
    <t>girdle of inertial barrier</t>
  </si>
  <si>
    <t>angurvadal</t>
  </si>
  <si>
    <t>purifier</t>
  </si>
  <si>
    <t>pale green ioun stone</t>
  </si>
  <si>
    <t>boots of speed</t>
  </si>
  <si>
    <t>potion of magic shielding</t>
  </si>
  <si>
    <t>scroll of protection from magic</t>
  </si>
  <si>
    <t>arrows of dispelling</t>
  </si>
  <si>
    <t>bolts of lightning</t>
  </si>
  <si>
    <t>bullets +4</t>
  </si>
  <si>
    <t>flesh to stone</t>
  </si>
  <si>
    <t>spell thrust</t>
  </si>
  <si>
    <t>rovala, archer/thief</t>
  </si>
  <si>
    <t>sil, cleric of lathander/mage</t>
  </si>
  <si>
    <t>saen, fighter/mage/cleric</t>
  </si>
  <si>
    <t>sil, solo cleric/mage</t>
  </si>
  <si>
    <t>solo cleric mage ToB 3</t>
  </si>
  <si>
    <t>new scs 7</t>
  </si>
  <si>
    <t>sil, kensai/mage</t>
  </si>
  <si>
    <t>no reload 3</t>
  </si>
  <si>
    <t>solo thief ToB 1</t>
  </si>
  <si>
    <t>sil, swashbuckler</t>
  </si>
  <si>
    <t>sethali, druid/fighter</t>
  </si>
  <si>
    <t>Sethali TOB 8</t>
  </si>
  <si>
    <t>shoral, cleric/thief</t>
  </si>
  <si>
    <t>edram, wild mage</t>
  </si>
  <si>
    <t>poppy, wild mage</t>
  </si>
  <si>
    <t>Wild Mage ISP Final Phase with Melissan</t>
  </si>
  <si>
    <t>poppy, archer</t>
  </si>
  <si>
    <t>WoL trick:</t>
  </si>
  <si>
    <t>extra HP</t>
  </si>
  <si>
    <t>Armor of Faith</t>
  </si>
  <si>
    <t>Holy Power</t>
  </si>
  <si>
    <t>Blur</t>
  </si>
  <si>
    <t>Spell Immunity</t>
  </si>
  <si>
    <t>Mordenkainen's Sword</t>
  </si>
  <si>
    <t>Project Image</t>
  </si>
  <si>
    <t>Mislead</t>
  </si>
  <si>
    <t>Shapechange Mind Flayer</t>
  </si>
  <si>
    <t>Wondrous Recall</t>
  </si>
  <si>
    <t>Poison Weapon</t>
  </si>
  <si>
    <t>Called Shot</t>
  </si>
  <si>
    <t>Enrage</t>
  </si>
  <si>
    <t>Barbarian Rage</t>
  </si>
  <si>
    <t>Ras</t>
  </si>
  <si>
    <t>Cloak of Stars</t>
  </si>
  <si>
    <t>Create Bruiser Mates</t>
  </si>
  <si>
    <t>Wand of Fireball</t>
  </si>
  <si>
    <t>Wand of Cloudkill</t>
  </si>
  <si>
    <t>Kitthix</t>
  </si>
  <si>
    <t>Efreeti Bottle</t>
  </si>
  <si>
    <t>Book of Infinite Spells</t>
  </si>
  <si>
    <t>Rod of Resurrection</t>
  </si>
  <si>
    <t>Hardiness</t>
  </si>
  <si>
    <t>Set Snare</t>
  </si>
  <si>
    <t>Potion of Heroism</t>
  </si>
  <si>
    <t>Potion of Master Thievery</t>
  </si>
  <si>
    <t>fighter</t>
  </si>
  <si>
    <t>wizard slayer</t>
  </si>
  <si>
    <t>assassin</t>
  </si>
  <si>
    <t>swashbuckler</t>
  </si>
  <si>
    <t>monk</t>
  </si>
  <si>
    <t>lilarcor</t>
  </si>
  <si>
    <t>staff of rynn</t>
  </si>
  <si>
    <t>sword of arvoreen</t>
  </si>
  <si>
    <t>arbane's sword</t>
  </si>
  <si>
    <t>rasad's talon</t>
  </si>
  <si>
    <t>ashideena</t>
  </si>
  <si>
    <t>blackblood</t>
  </si>
  <si>
    <t>crimson dart</t>
  </si>
  <si>
    <t>sling of seeking</t>
  </si>
  <si>
    <t>pixie prick</t>
  </si>
  <si>
    <t>frostreaver</t>
  </si>
  <si>
    <t>gesen bow</t>
  </si>
  <si>
    <t>ripper</t>
  </si>
  <si>
    <t>ardulia's fall</t>
  </si>
  <si>
    <t>halcyon spear</t>
  </si>
  <si>
    <t>duskblade</t>
  </si>
  <si>
    <t>namarra</t>
  </si>
  <si>
    <t>jhor the bleeder</t>
  </si>
  <si>
    <t>firecam full plate</t>
  </si>
  <si>
    <t>phantom staff</t>
  </si>
  <si>
    <t>halcyon</t>
  </si>
  <si>
    <t>spear of the unicorn</t>
  </si>
  <si>
    <t>daystar</t>
  </si>
  <si>
    <t>MT</t>
  </si>
  <si>
    <t>CMT</t>
  </si>
  <si>
    <t>MT M</t>
  </si>
  <si>
    <t>MT T</t>
  </si>
  <si>
    <t>CMT C</t>
  </si>
  <si>
    <t>CMT M</t>
  </si>
  <si>
    <t>CMT T</t>
  </si>
  <si>
    <t>1d6</t>
  </si>
  <si>
    <t>1d8</t>
  </si>
  <si>
    <t>1d10</t>
  </si>
  <si>
    <t>1d12</t>
  </si>
  <si>
    <t>1d12+1</t>
  </si>
  <si>
    <t>1d20</t>
  </si>
  <si>
    <t>1d20+1</t>
  </si>
  <si>
    <t>.5 APR every 3 levels</t>
  </si>
  <si>
    <t>9 AC, 1 for two levels</t>
  </si>
  <si>
    <t>halfling skald</t>
  </si>
  <si>
    <t>HP</t>
  </si>
  <si>
    <t>thac0</t>
  </si>
  <si>
    <t>wand</t>
  </si>
  <si>
    <t>AC</t>
  </si>
  <si>
    <t>slash</t>
  </si>
  <si>
    <t>crush</t>
  </si>
  <si>
    <t>pierce</t>
  </si>
  <si>
    <t>missile</t>
  </si>
  <si>
    <t>acid</t>
  </si>
  <si>
    <t>cold</t>
  </si>
  <si>
    <t>fire</t>
  </si>
  <si>
    <t>elec</t>
  </si>
  <si>
    <t>magic</t>
  </si>
  <si>
    <t>magic damage</t>
  </si>
  <si>
    <t>cast</t>
  </si>
  <si>
    <t>weapon speed</t>
  </si>
  <si>
    <t>move</t>
  </si>
  <si>
    <t>berserker</t>
  </si>
  <si>
    <t>stalker</t>
  </si>
  <si>
    <t>wild mage</t>
  </si>
  <si>
    <t>blade</t>
  </si>
  <si>
    <t>machine of lum the mad</t>
  </si>
  <si>
    <t>cloak of balduran</t>
  </si>
  <si>
    <t>hell</t>
  </si>
  <si>
    <t>BG1</t>
  </si>
  <si>
    <t>silver ioun stone</t>
  </si>
  <si>
    <t>darts</t>
  </si>
  <si>
    <t>tuigan</t>
  </si>
  <si>
    <t>sling</t>
  </si>
  <si>
    <t>strongarm</t>
  </si>
  <si>
    <t>apr</t>
  </si>
  <si>
    <t>save bonuses</t>
  </si>
  <si>
    <t>polymorph</t>
  </si>
  <si>
    <t>Ring of Earth Control</t>
  </si>
  <si>
    <t>Cloak of Displacement</t>
  </si>
  <si>
    <t>Ring of Protection +1</t>
  </si>
  <si>
    <t>Ring of Protection +2</t>
  </si>
  <si>
    <t>Amulet of Protection +1</t>
  </si>
  <si>
    <t>Cloak of Protection +1</t>
  </si>
  <si>
    <t>Cloak of Protection +2</t>
  </si>
  <si>
    <t>Ring of Gaxx</t>
  </si>
  <si>
    <t>Human Flesh</t>
  </si>
  <si>
    <t>Skin of the Ghoul</t>
  </si>
  <si>
    <t>Amulet of Spell Warding</t>
  </si>
  <si>
    <t>Periapt of Life Protection</t>
  </si>
  <si>
    <t>Necklace of Form Stability</t>
  </si>
  <si>
    <t>Belt of Inertial Barrier</t>
  </si>
  <si>
    <t>Lavender Ioun Stone</t>
  </si>
  <si>
    <t>max bonuses</t>
  </si>
  <si>
    <t>non-evil max bonuses</t>
  </si>
  <si>
    <t>substitute form stability for spell warding; trade 2 spell for 5 polymorph</t>
  </si>
  <si>
    <t>Gaxx</t>
  </si>
  <si>
    <t>Earth Control</t>
  </si>
  <si>
    <t>Spell Warding</t>
  </si>
  <si>
    <t>Inertial Barrier</t>
  </si>
  <si>
    <t>Lavender</t>
  </si>
  <si>
    <t>substitute life protection for spell warding; trade 2 spell for 3 death</t>
  </si>
  <si>
    <t>with items</t>
  </si>
  <si>
    <t>dwarf</t>
  </si>
  <si>
    <t>halfling</t>
  </si>
  <si>
    <t>gnome</t>
  </si>
  <si>
    <t>ghoul touch</t>
  </si>
  <si>
    <t>iron golem</t>
  </si>
  <si>
    <t>jansen adventurewear</t>
  </si>
  <si>
    <t>DoE</t>
  </si>
  <si>
    <t>barbarian kit</t>
  </si>
  <si>
    <t>Ascension bonus</t>
  </si>
  <si>
    <t>kai</t>
  </si>
  <si>
    <t>CF</t>
  </si>
  <si>
    <t>gauntlets</t>
  </si>
  <si>
    <t>Firetooth</t>
  </si>
  <si>
    <t>with off hand</t>
  </si>
  <si>
    <t>FoA+3</t>
  </si>
  <si>
    <t>True Strike</t>
  </si>
  <si>
    <t>fortress shield</t>
  </si>
  <si>
    <t>iron golem form</t>
  </si>
  <si>
    <t>ghostform</t>
  </si>
  <si>
    <t>hardiness</t>
  </si>
  <si>
    <t>ring of spell turning</t>
  </si>
  <si>
    <t>robe of the weave</t>
  </si>
  <si>
    <t>dispelling screen</t>
  </si>
  <si>
    <t>greater werewolf token</t>
  </si>
  <si>
    <t>sword of balduran</t>
  </si>
  <si>
    <t>FMT</t>
  </si>
  <si>
    <t>FMC</t>
  </si>
  <si>
    <t>Archer/Thief</t>
  </si>
  <si>
    <t>Archer/Mage</t>
  </si>
  <si>
    <t>Druid/Thief</t>
  </si>
  <si>
    <t>earth elemental form</t>
  </si>
  <si>
    <t>Fighter/Druid</t>
  </si>
  <si>
    <t>Cleric/Mage</t>
  </si>
  <si>
    <t>Thief/Mage</t>
  </si>
  <si>
    <t>Ring of Human Influence</t>
  </si>
  <si>
    <t>Stone of Good Luck</t>
  </si>
  <si>
    <t>Helm of Defense</t>
  </si>
  <si>
    <t>Cloak of Balduran</t>
  </si>
  <si>
    <t>Foebane</t>
  </si>
  <si>
    <t>Protector of the Second</t>
  </si>
  <si>
    <t>Amulet of Magic Shielding</t>
  </si>
  <si>
    <t>halfling and dwarf</t>
  </si>
  <si>
    <t>Potion of Invulnerability</t>
  </si>
  <si>
    <t>girdle</t>
  </si>
  <si>
    <t>helm</t>
  </si>
  <si>
    <t>SR</t>
  </si>
  <si>
    <t>no SR</t>
  </si>
  <si>
    <t>Sleep</t>
  </si>
  <si>
    <t>charm</t>
  </si>
  <si>
    <t>psionic blast</t>
  </si>
  <si>
    <t>improved alacrity</t>
  </si>
  <si>
    <t>conjure lightning crossbow</t>
  </si>
  <si>
    <t>frost aura</t>
  </si>
  <si>
    <t>level drain</t>
  </si>
  <si>
    <t>righteous magic</t>
  </si>
  <si>
    <t>mobility passive</t>
  </si>
  <si>
    <t>Bloody Howard</t>
  </si>
  <si>
    <t>Sorcerer</t>
  </si>
  <si>
    <t>LE</t>
  </si>
  <si>
    <t>CE</t>
  </si>
  <si>
    <t>DEX</t>
  </si>
  <si>
    <t>CON</t>
  </si>
  <si>
    <t>INT</t>
  </si>
  <si>
    <t>WIS</t>
  </si>
  <si>
    <t>CHA</t>
  </si>
  <si>
    <t>mind flayer</t>
  </si>
  <si>
    <t>wolfwere</t>
  </si>
  <si>
    <t>sequencers</t>
  </si>
  <si>
    <t>IA</t>
  </si>
  <si>
    <t>We might use a single Chain Contingency to throw out 4 Feeblemind spells early on. This would force a True Seeing spell, unless Imoen or Nalia had SI: Divination and so did their clones.</t>
  </si>
  <si>
    <t>Sil would use a triple Lower Resistance Spell Trigger, to reduce Abazigal's MR to zero.</t>
  </si>
  <si>
    <t>Our chance of successfully hitting Abazigal with Feeblemind would be 82.15%. If we got the timing just right, so True Seeing would come out very late, then our chances would be 96.11%</t>
  </si>
  <si>
    <t>Pre-buffing with SI: Divination, SI: Abjuration, and SI: Evocation would keep the simulacra alive. But this leaves Nalia's clones with only the two Feeblemind spells left.</t>
  </si>
  <si>
    <t>After both Feebleminds were gone, they could switch their energies to summoning Mordenkainen's Swords, to deal with Tamah.</t>
  </si>
  <si>
    <t>We'd really want to Feeblemind both dragons. We could dedicate Imoen and Nalia to do Feeblemind work.</t>
  </si>
  <si>
    <t>Our chances of Feebleminding both are at 67.5%. Very low and unreliable. But if we have our guaranteed two rounds for casting, that increases to 93.7%.</t>
  </si>
  <si>
    <t>A normal Contingency spell could grant us access to Spell Shield. But we'd better pre-cast Spell Shield, and activate, say, SI: Divination via the Contingency, to maximize spell duration.</t>
  </si>
  <si>
    <t>We'd also need Stoneskin to block Tamah's breath weapon, assuming Stoneskin can do that.</t>
  </si>
  <si>
    <t>This would therefore require us to stay stable for three rounds. A Planetar and Mordenkainen's Sword would do a lot to make this happen.</t>
  </si>
  <si>
    <t>Tamah has a Heal spell, but Abazigal appears not to.</t>
  </si>
  <si>
    <t>Therefore we should target her first.</t>
  </si>
  <si>
    <t>But Abazigal's MR is higher, and therefore warrants the Spell Trigger. We must therefore target Tamah with one casting of Lower Resistance and 1 charge from the Wand of Spell Striking.</t>
  </si>
  <si>
    <t>This will reduce her 50 MR to zero at minimum cost.</t>
  </si>
  <si>
    <t>We begin by bringing some frontliners to the fore, while keeping Imoen and Nalia well out of reach and sight. Imoen summons a Planetar; Nalia spawns her clones.</t>
  </si>
  <si>
    <t>Clones cast SI: Divination, followed by Stoneskin. One casts Haste instead. They run up to Tamah and fire off Feeblemind spells until she flashes yellow.</t>
  </si>
  <si>
    <t>We then ignore Tamah and focus on Feebleminding Abazigal, keeping a close eye on our Planetar to make absolute sure it does not attack Tamah.</t>
  </si>
  <si>
    <t>If we fail to Feeblemind Abazigal, Imoen will spawn her clones in the east. Her clones will cast SI: Divination and Stoneskin and rush in.</t>
  </si>
  <si>
    <t>Meanwhile, Nalia's clones must keep Abazigal occupied and deal damage to him, making the most of their remaining duration in case Imoen's Feeblemind spells don't work out.</t>
  </si>
  <si>
    <t>If all else fails, we can Maze Abazigal, conjure Mislead clones via the Wand of Lightning, and attack him when he returns.</t>
  </si>
  <si>
    <t>We would need Minute Meteors and Improved Haste. We could succeed without using the Wand of Lightning, especially if Abazigal fails his True Seeing spell, which is unlikely.</t>
  </si>
  <si>
    <t>Our remaining problem is human Abazigal.</t>
  </si>
  <si>
    <t>Having multiple triple Flame Arrow Spell Sequencers would resolve human Abazigal, dealing about enough damage to kill him.</t>
  </si>
  <si>
    <t>MM</t>
  </si>
  <si>
    <t>Heal, at 50% HP</t>
  </si>
  <si>
    <t>Improved Haste, Heal, PFMW</t>
  </si>
  <si>
    <t>Slow, Web, Greater Malison</t>
  </si>
  <si>
    <t>to hit</t>
  </si>
  <si>
    <t>per hit</t>
  </si>
  <si>
    <t>with song</t>
  </si>
  <si>
    <t>pulse</t>
  </si>
  <si>
    <t>50% resist</t>
  </si>
  <si>
    <t>Cleric/Thief</t>
  </si>
  <si>
    <t>Shapeshifter/Fighter</t>
  </si>
  <si>
    <t>Barbarian</t>
  </si>
  <si>
    <t>barbarian bonuses</t>
  </si>
  <si>
    <t>full plate +1 or orc leather</t>
  </si>
  <si>
    <t>Archer</t>
  </si>
  <si>
    <t>Berserker</t>
  </si>
  <si>
    <t>Undead Hunter</t>
  </si>
  <si>
    <t>Fighter/Thief</t>
  </si>
  <si>
    <t>Assassin</t>
  </si>
  <si>
    <t>Bounty Hunter</t>
  </si>
  <si>
    <t>Swashbuckler</t>
  </si>
  <si>
    <t>Transmuter</t>
  </si>
  <si>
    <t>Abjurer</t>
  </si>
  <si>
    <t>Enchanter</t>
  </si>
  <si>
    <t>Invoker</t>
  </si>
  <si>
    <t>Necromancer</t>
  </si>
  <si>
    <t>Illusionist</t>
  </si>
  <si>
    <t>Avenger</t>
  </si>
  <si>
    <t>Cleric of Lathander</t>
  </si>
  <si>
    <t>Cavalier</t>
  </si>
  <si>
    <t>Cleric/Ranger</t>
  </si>
  <si>
    <t>Conjurer</t>
  </si>
  <si>
    <t>Cleric /Thief</t>
  </si>
  <si>
    <t>Beastmaster</t>
  </si>
  <si>
    <t>Stalker</t>
  </si>
  <si>
    <t>answerer</t>
  </si>
  <si>
    <t>runehammer</t>
  </si>
  <si>
    <t>ixil's spike</t>
  </si>
  <si>
    <t>FoA+4</t>
  </si>
  <si>
    <t>minute meteors</t>
  </si>
  <si>
    <t>answerer, belm</t>
  </si>
  <si>
    <t>Carsomyr</t>
  </si>
  <si>
    <t>18/00</t>
  </si>
  <si>
    <t>archery</t>
  </si>
  <si>
    <t>weapon skill</t>
  </si>
  <si>
    <t>weapon specialization</t>
  </si>
  <si>
    <t>base THAC0</t>
  </si>
  <si>
    <t>Planetar</t>
  </si>
  <si>
    <t>Skeleton Warrior</t>
  </si>
  <si>
    <t>PFMW, Righteous Magic, Heal</t>
  </si>
  <si>
    <t>PFMW, Stoneskin, SI: Abjuration</t>
  </si>
  <si>
    <t>SI: Divination, project image x2</t>
  </si>
  <si>
    <t>Level</t>
  </si>
  <si>
    <t>PFMW, as many as possible</t>
  </si>
  <si>
    <t>Mislead scrolls are sufficient</t>
  </si>
  <si>
    <t>mirror image, blur</t>
  </si>
  <si>
    <t>shocking grasp, MM</t>
  </si>
  <si>
    <t>Stoneskin, Teleport Field, at least three Greater Malison, spare Minor Sequencer for Shocking Grasp</t>
  </si>
  <si>
    <t>RRoR</t>
  </si>
  <si>
    <t>Pierce Shield, at least 4</t>
  </si>
  <si>
    <t>simulacrum, spare</t>
  </si>
  <si>
    <t>spellstrike?</t>
  </si>
  <si>
    <t>imprisonment, one or two?</t>
  </si>
  <si>
    <t>Skull Trap?</t>
  </si>
  <si>
    <t>Flame Arrow?</t>
  </si>
  <si>
    <t>Buffs:</t>
  </si>
  <si>
    <t>Blur, as many as we can have</t>
  </si>
  <si>
    <t>Protection from Fire</t>
  </si>
  <si>
    <t>Stoneskin</t>
  </si>
  <si>
    <t>Spell Shield</t>
  </si>
  <si>
    <t>Remove Fear</t>
  </si>
  <si>
    <t>Free Action? Check hostile effects</t>
  </si>
  <si>
    <t>Protection from Evil</t>
  </si>
  <si>
    <t>Protection from Magical Energy?</t>
  </si>
  <si>
    <t>Spell Turning? Or Shield of the Archons</t>
  </si>
  <si>
    <t>Death Ward</t>
  </si>
  <si>
    <t>Improved Haste, enough for Haer'dalis</t>
  </si>
  <si>
    <t>Chaotic Commands, maybe mostly for Balthazar and Stunning Blow</t>
  </si>
  <si>
    <t>Protection from Lightning?</t>
  </si>
  <si>
    <t>Protection from Cold?</t>
  </si>
  <si>
    <t>Shapechange for Aerie or Sil?</t>
  </si>
  <si>
    <t>Emergency measures:</t>
  </si>
  <si>
    <t>Teleport Field</t>
  </si>
  <si>
    <t>Contingencies etc.:</t>
  </si>
  <si>
    <t>Breach? Unless wand is sufficient</t>
  </si>
  <si>
    <t>SI: Div, select characters</t>
  </si>
  <si>
    <t>We may need PI clones for debuffing Sendai and/or Abazigal</t>
  </si>
  <si>
    <t>(Improved Alacrity may obviate the need for debuffing clones)</t>
  </si>
  <si>
    <t>Haer'dalis needs a PFMW Contingency for when he is shapeshifted, and a spare Minor Sequencer with memorized SG if he needs to switch to natural form</t>
  </si>
  <si>
    <t>No amount of AC will stop Abazigal or Yaga-Shura.</t>
  </si>
  <si>
    <t>A couple of Potions of Absorption on the right character could render Balthazar's attacks ineffectual.</t>
  </si>
  <si>
    <t>We might stack Potions of Invulnerability and/or Stone Form for guaranteed saves</t>
  </si>
  <si>
    <t>If we go without SI: Abjuration, we need extra copies of Death Ward and maybe some other buffs as well.</t>
  </si>
  <si>
    <t>We need a couple of spare Time Traps elsewhere on the map, someplace where we can lure an enemy. We will need those traps to hit Abazigal and/or Yaga-Shura.</t>
  </si>
  <si>
    <t>This requires SI: Divination</t>
  </si>
  <si>
    <t>Wand of Lightning trick:</t>
  </si>
  <si>
    <t>Set Snare?</t>
  </si>
  <si>
    <t>Golem Manual</t>
  </si>
  <si>
    <t>A Project Image clone can use the Wand of Lightning trick in combination with Wish.</t>
  </si>
  <si>
    <t>We can summon 6 Project Image clones with the Wand of Lightning trick.</t>
  </si>
  <si>
    <t>This means we can have 36 Wish spells in two rounds if we don't need time for buffing.</t>
  </si>
  <si>
    <t>Can clones cast Focus?</t>
  </si>
  <si>
    <t>Instead of using Focus, if we are desperate, Sil can use the WoL trick to summon clones, who can then use Focus (?) to form a barrier around Sil.</t>
  </si>
  <si>
    <t>Rod of Resurrection should be in the hands of the characters with the most free auras</t>
  </si>
  <si>
    <t>Three mage HLAs will do her in.</t>
  </si>
  <si>
    <t>5 normal traps near Illasera</t>
  </si>
  <si>
    <t>Haer'dalis uses Time Traps at beginning to take down Yaga-Shura.</t>
  </si>
  <si>
    <t>Jan uses Detect Illusions and the Protection from Magic scroll on Sendai.</t>
  </si>
  <si>
    <t>Nalia spawns her clones to debuff Abazigal.</t>
  </si>
  <si>
    <t>Sil uses two HLAs during Time Trap.</t>
  </si>
  <si>
    <t>Yaga-Shura dead</t>
  </si>
  <si>
    <t>Sendai neutralized</t>
  </si>
  <si>
    <t>Illasera dead</t>
  </si>
  <si>
    <t>Everyone but Jan uses PFMW.</t>
  </si>
  <si>
    <t>Imoen uses an HLA.</t>
  </si>
  <si>
    <t>1 to 3</t>
  </si>
  <si>
    <t>round</t>
  </si>
  <si>
    <t>Jan interrupts any spells from Abazigal and makes his way north to lay Time Traps if nobody follows him.</t>
  </si>
  <si>
    <t>Haer'dalis casts Mislead and maybe uses the Wand of Spell Striking on Abazigal.</t>
  </si>
  <si>
    <t>Haer'dalis attacks Balthazar with the Answerer. Count how many times he hits.</t>
  </si>
  <si>
    <t>PFMW 1</t>
  </si>
  <si>
    <t>PFMW 2</t>
  </si>
  <si>
    <t>PFMW 3</t>
  </si>
  <si>
    <t>Sil pre-casts Focus. Aerie pre-casts Energy Blades. Sil pre-casts Energy Blades. Pre-cast Improved Haste on Haer'dalis.</t>
  </si>
  <si>
    <t>Nalia needs SI: Evocation on helpless to deal with Solar Stance.</t>
  </si>
  <si>
    <t>clone PFMW 1</t>
  </si>
  <si>
    <t>clone PFMW 2</t>
  </si>
  <si>
    <t>?</t>
  </si>
  <si>
    <t>Aerie casts Teleport Field?</t>
  </si>
  <si>
    <t>Nalia's clones cast PFMW and fan out.</t>
  </si>
  <si>
    <t>All attack Balthazar, maybe with some attention to Abazigal with Pulse Ammunition or Energy Blades.</t>
  </si>
  <si>
    <t>We need to take down all of the enemies. Abazigal, Gromnir, and Balthazar all can deal damage through Stoneskin.</t>
  </si>
  <si>
    <t>We don't have enough PFMW spells to keep them at bay forever.</t>
  </si>
  <si>
    <t>Also, Sendai has to die so Melissan can be stun-locked.</t>
  </si>
  <si>
    <t>Or, we could use lots of Teleport Field spells and just maintain our defenses against Abazigal's debuffers.</t>
  </si>
  <si>
    <t>Abazigal has 2 Secret Word spells, 2 Maze spells, 2 Breach spells, and one Power Word: Blind.</t>
  </si>
  <si>
    <t>We have perhaps 11 Teleport Field spells. That's enough for about 50 rounds of protection.</t>
  </si>
  <si>
    <t>PFMW, on hit</t>
  </si>
  <si>
    <t>PFMW, Stoneskin, Spell Turning, on hit</t>
  </si>
  <si>
    <t>Stoneskin, Teleport Field x2</t>
  </si>
  <si>
    <t>SG+Mirror Image</t>
  </si>
  <si>
    <t>Chant, Mirror Image</t>
  </si>
  <si>
    <t>AoF x2</t>
  </si>
  <si>
    <t>Mirror Image, Blur</t>
  </si>
  <si>
    <t>Stoneskin, Teleport Field, Greater Malison</t>
  </si>
  <si>
    <t>Teleport Field, Greater Malison, Animate Dead</t>
  </si>
  <si>
    <t>Stoneskin, Greater Malison, Teleport Field</t>
  </si>
  <si>
    <t>Tenser's Transformation, Righteous Magic, SI: Abjuration</t>
  </si>
  <si>
    <t>Jan hits Balthazar with BBoD.</t>
  </si>
  <si>
    <t>Balthazar is dead.</t>
  </si>
  <si>
    <t>Jan goes to hit Sendai with a Protection from Magic scroll.</t>
  </si>
  <si>
    <t>Illasera hit with traps.</t>
  </si>
  <si>
    <t>Nalia, Imoen, and Sil kill Illasera with HLAs, if Jan has not done so.</t>
  </si>
  <si>
    <t>Nalia spawns clones and debuffs Abazigal.</t>
  </si>
  <si>
    <t>We keep Abazigal under pressure until Melissan arrives.</t>
  </si>
  <si>
    <t>We kill Sendai, stun Melissan, and Imprison Abazigal.</t>
  </si>
  <si>
    <t>PFMW, Heal, Improved Haste</t>
  </si>
  <si>
    <t>Pre-cast Simulacrum for Jan, when Jan is equipping the Chaos Blade and the SCT. This will help us take down Yaga-Shura after his AC is lowered.</t>
  </si>
  <si>
    <t>One Time Trap for Haer'dalis, away from the enemy, and one for Jan.</t>
  </si>
  <si>
    <t>Jan casts Time Stop during Time Trap.</t>
  </si>
  <si>
    <t>Whenever we trigger Haer'dalis' Time Trap, Haer'dalis will attack Yaga-Shura with the Answerer, to lower his AC.</t>
  </si>
  <si>
    <t>Then Haer'dalis and Jan's simulacrum hit Yaga-Shura with the Chaos Blade, as Yaga-Shura's AC is lowered.</t>
  </si>
  <si>
    <t>dire charm</t>
  </si>
  <si>
    <t>domination</t>
  </si>
  <si>
    <t>seduction</t>
  </si>
  <si>
    <t>two seducers</t>
  </si>
  <si>
    <t>three seducers</t>
  </si>
  <si>
    <t>fail to chance</t>
  </si>
  <si>
    <t>fail to save</t>
  </si>
  <si>
    <t>fail chance</t>
  </si>
  <si>
    <t>sorc</t>
  </si>
  <si>
    <t>arch</t>
  </si>
  <si>
    <t>sed</t>
  </si>
  <si>
    <t>ct</t>
  </si>
  <si>
    <t>foa</t>
  </si>
  <si>
    <t>ardulia</t>
  </si>
  <si>
    <t>pixie</t>
  </si>
  <si>
    <t>celest</t>
  </si>
  <si>
    <t>with GM</t>
  </si>
  <si>
    <t>and doom</t>
  </si>
  <si>
    <t>weapon</t>
  </si>
  <si>
    <t>energy blades</t>
  </si>
  <si>
    <t>MMM</t>
  </si>
  <si>
    <t>crimson</t>
  </si>
  <si>
    <t>scorcher</t>
  </si>
  <si>
    <t>level 9</t>
  </si>
  <si>
    <t>firetooth, +3 bolts</t>
  </si>
  <si>
    <t>secret</t>
  </si>
  <si>
    <t>leather</t>
  </si>
  <si>
    <t>necklace</t>
  </si>
  <si>
    <t>belt</t>
  </si>
  <si>
    <t>aop</t>
  </si>
  <si>
    <t>evasion</t>
  </si>
  <si>
    <t>lum</t>
  </si>
  <si>
    <t>spider</t>
  </si>
  <si>
    <t>spirit armor</t>
  </si>
  <si>
    <t>katana</t>
  </si>
  <si>
    <t>staff</t>
  </si>
  <si>
    <t>save drain</t>
  </si>
  <si>
    <t>CO</t>
  </si>
  <si>
    <t>ray of enfeeblement</t>
  </si>
  <si>
    <t>VT</t>
  </si>
  <si>
    <t>warding whip</t>
  </si>
  <si>
    <t>comet</t>
  </si>
  <si>
    <t>DB</t>
  </si>
  <si>
    <t>summon fallen planetar</t>
  </si>
  <si>
    <t>pro evil</t>
  </si>
  <si>
    <t>defensive spin</t>
  </si>
  <si>
    <t>save penalty</t>
  </si>
  <si>
    <t>foa IH</t>
  </si>
  <si>
    <t>foa GWW</t>
  </si>
  <si>
    <t>MST</t>
  </si>
  <si>
    <t>ST</t>
  </si>
  <si>
    <t>extra mage</t>
  </si>
  <si>
    <t>2nd hit</t>
  </si>
  <si>
    <t>Cleric of Lathander(11)-&gt;Mage</t>
  </si>
  <si>
    <t>Illusionist/Cleric</t>
  </si>
  <si>
    <t>Archer(13)-&gt;Thief</t>
  </si>
  <si>
    <t>Jaheira</t>
  </si>
  <si>
    <t>Edwin</t>
  </si>
  <si>
    <t>Keldorn</t>
  </si>
  <si>
    <t>Fighter/Illusionist</t>
  </si>
  <si>
    <t>spears</t>
  </si>
  <si>
    <t>long swords</t>
  </si>
  <si>
    <t>staffs</t>
  </si>
  <si>
    <t>mage 2</t>
  </si>
  <si>
    <t>mage 3</t>
  </si>
  <si>
    <t>mage 1</t>
  </si>
  <si>
    <t>hits 2</t>
  </si>
  <si>
    <t>2 bounces</t>
  </si>
  <si>
    <t>hits 3</t>
  </si>
  <si>
    <t>3 bounces</t>
  </si>
  <si>
    <t>MST lost</t>
  </si>
  <si>
    <t>MS lost</t>
  </si>
  <si>
    <t>edwin</t>
  </si>
  <si>
    <t>charname</t>
  </si>
  <si>
    <t>as</t>
  </si>
  <si>
    <t>bounce</t>
  </si>
  <si>
    <t>one spell sequencer, three ST, three MST</t>
  </si>
  <si>
    <t>ring</t>
  </si>
  <si>
    <t>ring, spell</t>
  </si>
  <si>
    <t>dragon shield, helm of defense, spell</t>
  </si>
  <si>
    <t>THAC0 penalty</t>
  </si>
  <si>
    <t>ring protection +2</t>
  </si>
  <si>
    <t>pskull</t>
  </si>
  <si>
    <t>sparklgo</t>
  </si>
  <si>
    <t>hold</t>
  </si>
  <si>
    <t>none</t>
  </si>
  <si>
    <t>hold animal</t>
  </si>
  <si>
    <t>miscast magic</t>
  </si>
  <si>
    <t>one WoL ring of spell turning, minor sequencer</t>
  </si>
  <si>
    <t>34 hits</t>
  </si>
  <si>
    <t>8 hits</t>
  </si>
  <si>
    <t>one WoL ring of spell turning, MST, single scorcher</t>
  </si>
  <si>
    <t>60 hits</t>
  </si>
  <si>
    <t>one WoL ring of spell turning, MST, minor sequencer</t>
  </si>
  <si>
    <t>MF</t>
  </si>
  <si>
    <t>MC</t>
  </si>
  <si>
    <t>Phase Spider Thief</t>
  </si>
  <si>
    <t>Mazzy</t>
  </si>
  <si>
    <t>Conjurer(9)-&gt;Fighter</t>
  </si>
  <si>
    <t>two with ST</t>
  </si>
  <si>
    <t>fire once</t>
  </si>
  <si>
    <t>5 bounces left</t>
  </si>
  <si>
    <t>4 bounces left</t>
  </si>
  <si>
    <t>two weapon fighting</t>
  </si>
  <si>
    <t>short sword</t>
  </si>
  <si>
    <t>ioun stone</t>
  </si>
  <si>
    <t>amulet</t>
  </si>
  <si>
    <t>multiplier</t>
  </si>
  <si>
    <t>other</t>
  </si>
  <si>
    <t>hidden</t>
  </si>
  <si>
    <t>fighter/thief</t>
  </si>
  <si>
    <t>level</t>
  </si>
  <si>
    <t>sneak attack</t>
  </si>
  <si>
    <t>2d6</t>
  </si>
  <si>
    <t>3d6</t>
  </si>
  <si>
    <t>4d6</t>
  </si>
  <si>
    <t>7d6</t>
  </si>
  <si>
    <t>8d6</t>
  </si>
  <si>
    <t>fighter-&gt;thief</t>
  </si>
  <si>
    <t>2E</t>
  </si>
  <si>
    <t>3E</t>
  </si>
  <si>
    <t>dragon disciple</t>
  </si>
  <si>
    <t>fighter/druid</t>
  </si>
  <si>
    <t>blood</t>
  </si>
  <si>
    <t>fang</t>
  </si>
  <si>
    <t>fist</t>
  </si>
  <si>
    <t>tongue</t>
  </si>
  <si>
    <t>hand</t>
  </si>
  <si>
    <t>kiss</t>
  </si>
  <si>
    <t>talon</t>
  </si>
  <si>
    <t>CT</t>
  </si>
  <si>
    <t>fire shield</t>
  </si>
  <si>
    <t>druid spells</t>
  </si>
  <si>
    <t>cleric spells</t>
  </si>
  <si>
    <t>mage spells</t>
  </si>
  <si>
    <t>DUHM, Righteous Magic, Armor of Faith, Defender of Easthaven</t>
  </si>
  <si>
    <t>fighter-&gt;mage</t>
  </si>
  <si>
    <t>shapeshifter</t>
  </si>
  <si>
    <t>Magic Missile, Mirror Image, Fireball, Lightning Bolt, Stoneskin, Fire Shield, Lower Resistance</t>
  </si>
  <si>
    <t>Magic Missile, Mirror Image, Fireball, Lightning Bolt, Stoneskin, Fire Shield, Spell Immunity</t>
  </si>
  <si>
    <t>Insect Plague, Chaotic Commands</t>
  </si>
  <si>
    <t>scorcher spell</t>
  </si>
  <si>
    <t>MST and ST do not stack</t>
  </si>
  <si>
    <t>scorcher wand, save</t>
  </si>
  <si>
    <t>ring of energy</t>
  </si>
  <si>
    <t>lightning bolt spell, save</t>
  </si>
  <si>
    <t>scorcher wand, no save</t>
  </si>
  <si>
    <t>lightning bolt spell, no save</t>
  </si>
  <si>
    <t>lightning bolt wand, save</t>
  </si>
  <si>
    <t>lightning bolt wand, no save</t>
  </si>
  <si>
    <t>Nightmare</t>
  </si>
  <si>
    <t>Firkraag</t>
  </si>
  <si>
    <t>no armor</t>
  </si>
  <si>
    <t>Human Flesh +5</t>
  </si>
  <si>
    <t>Hell bonus</t>
  </si>
  <si>
    <t>Kaligun's Amulet of Magic Resistance</t>
  </si>
  <si>
    <t>Machine of Lum the Mad</t>
  </si>
  <si>
    <t>Shield of the Lost</t>
  </si>
  <si>
    <t>Sword of Balduran</t>
  </si>
  <si>
    <t>Greater Werewolf Token</t>
  </si>
  <si>
    <t>Holy Symbol of Lathander/Helm/Talos</t>
  </si>
  <si>
    <t>Robe of Vecna</t>
  </si>
  <si>
    <t>viconia</t>
  </si>
  <si>
    <t>paladin</t>
  </si>
  <si>
    <t>ammunition</t>
  </si>
  <si>
    <t>pips</t>
  </si>
  <si>
    <t>ram</t>
  </si>
  <si>
    <t>Trap damage</t>
  </si>
  <si>
    <t>Special Snare</t>
  </si>
  <si>
    <t>Snare</t>
  </si>
  <si>
    <t>2d8+5</t>
  </si>
  <si>
    <t>2d8+5, +2d6 poison damage per round for three rounds</t>
  </si>
  <si>
    <t>3d8+5, +4d8+2 fire damage</t>
  </si>
  <si>
    <t>3d8+5, +20 poison damage</t>
  </si>
  <si>
    <t>Bounty Hunter trap uses</t>
  </si>
  <si>
    <t>per day</t>
  </si>
  <si>
    <t>3d8+5, slow</t>
  </si>
  <si>
    <t>4d8+5, hold</t>
  </si>
  <si>
    <t>ORS</t>
  </si>
  <si>
    <t>Maze</t>
  </si>
  <si>
    <t>septuple Sunfire sequencer+contingency+chain contingency</t>
  </si>
  <si>
    <t>Assassin-&gt;Mage</t>
  </si>
  <si>
    <t>Beastmaster-&gt;Cleric</t>
  </si>
  <si>
    <t>Inquisitor</t>
  </si>
  <si>
    <t>Fighter/Mage</t>
  </si>
  <si>
    <t>duration</t>
  </si>
  <si>
    <t>korgan</t>
  </si>
  <si>
    <t>keldorn</t>
  </si>
  <si>
    <t>mazzy</t>
  </si>
  <si>
    <t>yoshimo</t>
  </si>
  <si>
    <t>valygar</t>
  </si>
  <si>
    <t>minsc</t>
  </si>
  <si>
    <t>jaheira</t>
  </si>
  <si>
    <t>hexxat</t>
  </si>
  <si>
    <t>dorn</t>
  </si>
  <si>
    <t>rasaad</t>
  </si>
  <si>
    <t>neera</t>
  </si>
  <si>
    <t>Minsc</t>
  </si>
  <si>
    <t>Valygar</t>
  </si>
  <si>
    <t>Korgan</t>
  </si>
  <si>
    <t>Yoshimo</t>
  </si>
  <si>
    <t>Sarevok</t>
  </si>
  <si>
    <t>ohbwfog</t>
  </si>
  <si>
    <t>ohrblind</t>
  </si>
  <si>
    <t>ohrdark</t>
  </si>
  <si>
    <t>spcl239a</t>
  </si>
  <si>
    <t>spdm101</t>
  </si>
  <si>
    <t>PW blind</t>
  </si>
  <si>
    <t>difference</t>
  </si>
  <si>
    <t>start</t>
  </si>
  <si>
    <t>mid</t>
  </si>
  <si>
    <t>late</t>
  </si>
  <si>
    <t>end</t>
  </si>
  <si>
    <t>Fighter/Cleric</t>
  </si>
  <si>
    <t>Slayer</t>
  </si>
  <si>
    <t>Slayer immunities:</t>
  </si>
  <si>
    <t>Fear</t>
  </si>
  <si>
    <t>Charm</t>
  </si>
  <si>
    <t>Imprisonment</t>
  </si>
  <si>
    <t>Level drain</t>
  </si>
  <si>
    <t>Stun</t>
  </si>
  <si>
    <t>Power Word: Stun</t>
  </si>
  <si>
    <t>Power Word: Sleep</t>
  </si>
  <si>
    <t>Confusion</t>
  </si>
  <si>
    <t>Finger of Death (spell only)</t>
  </si>
  <si>
    <t>slayer</t>
  </si>
  <si>
    <t>cloak</t>
  </si>
  <si>
    <t>Wizard Slayer-&gt;Thief</t>
  </si>
  <si>
    <t>Kensai-&gt;Thief</t>
  </si>
  <si>
    <t>Fighter-&gt;Thief</t>
  </si>
  <si>
    <t>Cleric of Lathander-&gt;Thief</t>
  </si>
  <si>
    <t>Slayer AC</t>
  </si>
  <si>
    <t>base, including DEX</t>
  </si>
  <si>
    <t>Fighter/Cleric AC</t>
  </si>
  <si>
    <t>SWS</t>
  </si>
  <si>
    <t>3 songs</t>
  </si>
  <si>
    <t>Swashbuckler/Cleric</t>
  </si>
  <si>
    <t>swashbuckler/cleric</t>
  </si>
  <si>
    <t>Improved Bard Song</t>
  </si>
  <si>
    <t>barbarian</t>
  </si>
  <si>
    <t>FT</t>
  </si>
  <si>
    <t>f7</t>
  </si>
  <si>
    <t>m5</t>
  </si>
  <si>
    <t>t8</t>
  </si>
  <si>
    <t>race-specific options</t>
  </si>
  <si>
    <t>beholder</t>
  </si>
  <si>
    <t>cause serious wounds ray, paralyze, death ray, flesh to stone</t>
  </si>
  <si>
    <t>darkplanetar and planeter</t>
  </si>
  <si>
    <t>may see through invisibility</t>
  </si>
  <si>
    <t>demi-lich</t>
  </si>
  <si>
    <t>may use demilich wail</t>
  </si>
  <si>
    <t>demonic</t>
  </si>
  <si>
    <t>immunity to fire, fear, and charm</t>
  </si>
  <si>
    <t>dragon</t>
  </si>
  <si>
    <t>wing buffet</t>
  </si>
  <si>
    <t>ettercap, spider</t>
  </si>
  <si>
    <t>poison on hit</t>
  </si>
  <si>
    <t>golem</t>
  </si>
  <si>
    <t>immunity to magic</t>
  </si>
  <si>
    <t>kuo-toa</t>
  </si>
  <si>
    <t>True Seeing</t>
  </si>
  <si>
    <t>lich</t>
  </si>
  <si>
    <t>may cast Gate</t>
  </si>
  <si>
    <t>mummy, otyugh</t>
  </si>
  <si>
    <t>disease on hit</t>
  </si>
  <si>
    <t>rakshasaa</t>
  </si>
  <si>
    <t>spell level immunities</t>
  </si>
  <si>
    <t>shadow</t>
  </si>
  <si>
    <t>STR drain on hit</t>
  </si>
  <si>
    <t>troll</t>
  </si>
  <si>
    <t>umber hulk, myconid</t>
  </si>
  <si>
    <t>vampire, wraith</t>
  </si>
  <si>
    <t>level drain on hit</t>
  </si>
  <si>
    <t>general type</t>
  </si>
  <si>
    <t>undead</t>
  </si>
  <si>
    <t xml:space="preserve">immunity to poison, disease, fatigue, </t>
  </si>
  <si>
    <t>animal</t>
  </si>
  <si>
    <t>extra +1 to STR and CON</t>
  </si>
  <si>
    <t>gender</t>
  </si>
  <si>
    <t>illusionary</t>
  </si>
  <si>
    <t>mirror image</t>
  </si>
  <si>
    <t>deathknight</t>
  </si>
  <si>
    <t>extra +2 to hit and damage</t>
  </si>
  <si>
    <t>elemental air</t>
  </si>
  <si>
    <t>whirlwind</t>
  </si>
  <si>
    <t>elemental earth</t>
  </si>
  <si>
    <t>20 resistance to physical damage</t>
  </si>
  <si>
    <t>elemental fire</t>
  </si>
  <si>
    <t>fire damage on hit</t>
  </si>
  <si>
    <t>fairy dryad</t>
  </si>
  <si>
    <t>fairy nymph</t>
  </si>
  <si>
    <t>fairy nereid</t>
  </si>
  <si>
    <t>fairy sirine</t>
  </si>
  <si>
    <t>genie dao, djinn, and noble djinn</t>
  </si>
  <si>
    <t>genie efreeti and noble efreeti</t>
  </si>
  <si>
    <t>ghoul</t>
  </si>
  <si>
    <t>ghoul ghast</t>
  </si>
  <si>
    <t>ghoul reveant</t>
  </si>
  <si>
    <t>hold I on hit</t>
  </si>
  <si>
    <t>gianthumanoid</t>
  </si>
  <si>
    <t>extra +2 to STR</t>
  </si>
  <si>
    <t>golem clay</t>
  </si>
  <si>
    <t>golem iron</t>
  </si>
  <si>
    <t>golem stone</t>
  </si>
  <si>
    <t>Golem Slow</t>
  </si>
  <si>
    <t>Golem Haste</t>
  </si>
  <si>
    <t>poison cloud</t>
  </si>
  <si>
    <t>green slime</t>
  </si>
  <si>
    <t>gray ooze</t>
  </si>
  <si>
    <t>mustard jelly</t>
  </si>
  <si>
    <t>ochre jelly</t>
  </si>
  <si>
    <t>ogre, ogre mage, ogrillon</t>
  </si>
  <si>
    <t>extra +1 to STR</t>
  </si>
  <si>
    <t>olive slime</t>
  </si>
  <si>
    <t>bonus to hit and damage, penalty to AC</t>
  </si>
  <si>
    <t>bonus to STR and CON, penalty to AC</t>
  </si>
  <si>
    <t>spell failure on hit</t>
  </si>
  <si>
    <t>immunity to confusion, charm, maze, and fear</t>
  </si>
  <si>
    <t>backstab bonus</t>
  </si>
  <si>
    <t>poison weapon</t>
  </si>
  <si>
    <t>beastfriend (avenger)</t>
  </si>
  <si>
    <t>beastmaster</t>
  </si>
  <si>
    <t>blackguard</t>
  </si>
  <si>
    <t>set special snare</t>
  </si>
  <si>
    <t>animal summoning I</t>
  </si>
  <si>
    <t>shapeshift sword spider</t>
  </si>
  <si>
    <t>cavalier</t>
  </si>
  <si>
    <t>dark moon</t>
  </si>
  <si>
    <t>dwarven defender</t>
  </si>
  <si>
    <t>20 resistance</t>
  </si>
  <si>
    <t>fire breath</t>
  </si>
  <si>
    <t>cold damage on hit</t>
  </si>
  <si>
    <t>20 resistance to fire and acid, immunity to fear</t>
  </si>
  <si>
    <t>feralan</t>
  </si>
  <si>
    <t>godhelm</t>
  </si>
  <si>
    <t>godlathander</t>
  </si>
  <si>
    <t>godtalos</t>
  </si>
  <si>
    <t>boon of lathander</t>
  </si>
  <si>
    <t>seeking swordd</t>
  </si>
  <si>
    <t>grizzly bear</t>
  </si>
  <si>
    <t>bonus 2 to STR</t>
  </si>
  <si>
    <t>confusion, as mage spell</t>
  </si>
  <si>
    <t>mage school abjurer</t>
  </si>
  <si>
    <t>conjurere</t>
  </si>
  <si>
    <t>diviner</t>
  </si>
  <si>
    <t>enchanter</t>
  </si>
  <si>
    <t>illusionist</t>
  </si>
  <si>
    <t>invoker</t>
  </si>
  <si>
    <t>necromancer</t>
  </si>
  <si>
    <t>transmuter</t>
  </si>
  <si>
    <t>monster summoning II</t>
  </si>
  <si>
    <t>chain lightning</t>
  </si>
  <si>
    <t>shadowdancer</t>
  </si>
  <si>
    <t>shapeshift werewolf</t>
  </si>
  <si>
    <t>Chant</t>
  </si>
  <si>
    <t>sun soul</t>
  </si>
  <si>
    <t>bonus +1 to AC, to hit, and damage</t>
  </si>
  <si>
    <t>Sun Soulray</t>
  </si>
  <si>
    <t>totemic</t>
  </si>
  <si>
    <t>spirit animal</t>
  </si>
  <si>
    <t>undead hunter</t>
  </si>
  <si>
    <t>immunity to hold and level drain</t>
  </si>
  <si>
    <t>Sphere of Chaos</t>
  </si>
  <si>
    <t>15 MR</t>
  </si>
  <si>
    <t>Wizard Slayer</t>
  </si>
  <si>
    <t>mage thief</t>
  </si>
  <si>
    <t>ranger</t>
  </si>
  <si>
    <t>blind bounty hunter</t>
  </si>
  <si>
    <t>slayer monk</t>
  </si>
  <si>
    <t>Carsomyr/Purifier</t>
  </si>
  <si>
    <t>enchant</t>
  </si>
  <si>
    <t>million XP</t>
  </si>
  <si>
    <t>sorcerer</t>
  </si>
  <si>
    <t>Shadowdancer</t>
  </si>
  <si>
    <t>Dwarven Defender</t>
  </si>
  <si>
    <t>g</t>
  </si>
  <si>
    <t>h</t>
  </si>
  <si>
    <t>Blackguard</t>
  </si>
  <si>
    <t>Jester</t>
  </si>
  <si>
    <t>Necromancy</t>
  </si>
  <si>
    <t>Wild Mage</t>
  </si>
  <si>
    <t>Dragon Disciple</t>
  </si>
  <si>
    <t>Dark Moon Monk</t>
  </si>
  <si>
    <t>Talos</t>
  </si>
  <si>
    <t>Totemic Druid</t>
  </si>
  <si>
    <t>shield of harmony</t>
  </si>
  <si>
    <t>shield spell</t>
  </si>
  <si>
    <t>buckler +1</t>
  </si>
  <si>
    <t>DEX 18</t>
  </si>
  <si>
    <t>DEX 25</t>
  </si>
  <si>
    <t>bracers of defense AC 3</t>
  </si>
  <si>
    <t>protection from evil?</t>
  </si>
  <si>
    <t>ring of protection</t>
  </si>
  <si>
    <t>imber, slayer monk</t>
  </si>
  <si>
    <t>spin890</t>
  </si>
  <si>
    <t>sppr715</t>
  </si>
  <si>
    <t>spwi911</t>
  </si>
  <si>
    <t>spin701</t>
  </si>
  <si>
    <t>spwi899</t>
  </si>
  <si>
    <t>Nabassu</t>
  </si>
  <si>
    <t>Glabrezu</t>
  </si>
  <si>
    <t>Pit Fiend</t>
  </si>
  <si>
    <t>Cleric(18)-&gt;Mage(25)</t>
  </si>
  <si>
    <t>max level simulacrum of illusionist/cleric can cast one level 7 priest spell, Gate.</t>
  </si>
  <si>
    <t>with project image</t>
  </si>
  <si>
    <t>total demons</t>
  </si>
  <si>
    <t>glabrezus</t>
  </si>
  <si>
    <t>pit fiend</t>
  </si>
  <si>
    <t>protectiion from evil</t>
  </si>
  <si>
    <t>specialist</t>
  </si>
  <si>
    <t>Cleric/Illusionist</t>
  </si>
  <si>
    <t>Berserker(9)-&gt;Druid</t>
  </si>
  <si>
    <t>half-elf</t>
  </si>
  <si>
    <t>human</t>
  </si>
  <si>
    <t>elf</t>
  </si>
  <si>
    <t>coran</t>
  </si>
  <si>
    <t>dynaheir</t>
  </si>
  <si>
    <t>sarevok</t>
  </si>
  <si>
    <t>haer dalis</t>
  </si>
  <si>
    <t>anomen</t>
  </si>
  <si>
    <t>khalid</t>
  </si>
  <si>
    <t>kivan</t>
  </si>
  <si>
    <t>yeslick</t>
  </si>
  <si>
    <t>alora</t>
  </si>
  <si>
    <t>branwen</t>
  </si>
  <si>
    <t>montaron</t>
  </si>
  <si>
    <t>quayle</t>
  </si>
  <si>
    <t>safana</t>
  </si>
  <si>
    <t>skie</t>
  </si>
  <si>
    <t>sharteel</t>
  </si>
  <si>
    <t>eldoth</t>
  </si>
  <si>
    <t>faldorn</t>
  </si>
  <si>
    <t>garrick</t>
  </si>
  <si>
    <t>tiax</t>
  </si>
  <si>
    <t>xan</t>
  </si>
  <si>
    <t>kagain</t>
  </si>
  <si>
    <t>kachiko's wakizashi</t>
  </si>
  <si>
    <t>Blind:</t>
  </si>
  <si>
    <t>Mage/Thief</t>
  </si>
  <si>
    <t>Assassin-&gt;Cleric</t>
  </si>
  <si>
    <t>7h</t>
  </si>
  <si>
    <t>9s</t>
  </si>
  <si>
    <t>9z</t>
  </si>
  <si>
    <t>VG</t>
  </si>
  <si>
    <t>single weapon style</t>
  </si>
  <si>
    <t>tenser's transformation</t>
  </si>
  <si>
    <t>FM</t>
  </si>
  <si>
    <t>ravager</t>
  </si>
  <si>
    <t>WIS drain</t>
  </si>
  <si>
    <t>0.5+ APR</t>
  </si>
  <si>
    <t>bonus 2 damage to evil and chaotic creatures</t>
  </si>
  <si>
    <t>stunning blow, +3 to hit with fists</t>
  </si>
  <si>
    <t>backstab *2</t>
  </si>
  <si>
    <t>character class</t>
  </si>
  <si>
    <t>true class, unkitted</t>
  </si>
  <si>
    <t>15+ HP</t>
  </si>
  <si>
    <t>set trap</t>
  </si>
  <si>
    <t>lay on hands</t>
  </si>
  <si>
    <t>three pips in dual-wielding, +2 bonus to off hand THAC0</t>
  </si>
  <si>
    <t>song, +1 to luck and saving throws for 10 rounds</t>
  </si>
  <si>
    <t>disintegrate</t>
  </si>
  <si>
    <t>chance level drain</t>
  </si>
  <si>
    <t>base level drain</t>
  </si>
  <si>
    <t>total level drain</t>
  </si>
  <si>
    <t>without GM</t>
  </si>
  <si>
    <t>with GM and Doom</t>
  </si>
  <si>
    <t>WIS drain chance</t>
  </si>
  <si>
    <t>poison</t>
  </si>
  <si>
    <t>Champion's Strength</t>
  </si>
  <si>
    <t>repulse undead</t>
  </si>
  <si>
    <t>Gate</t>
  </si>
  <si>
    <t>1 round per level</t>
  </si>
  <si>
    <t>10 rounds</t>
  </si>
  <si>
    <t>larloch's minor drain</t>
  </si>
  <si>
    <t>luck</t>
  </si>
  <si>
    <t>deafness</t>
  </si>
  <si>
    <t>ghost armor</t>
  </si>
  <si>
    <t>hold undead</t>
  </si>
  <si>
    <t>fire shield red</t>
  </si>
  <si>
    <t>fire shield blue</t>
  </si>
  <si>
    <t>ice storm</t>
  </si>
  <si>
    <t>contagion</t>
  </si>
  <si>
    <t>Carrion Summons</t>
  </si>
  <si>
    <t>15 THAC0</t>
  </si>
  <si>
    <t>The polymorph effect should bypass immunity to polymorph. It will only create the weapon itself, though.</t>
  </si>
  <si>
    <t>confusion, polymorph, disintegrate, 3d6+6 fire damage, heal 20 HP, teleport field, sleep, paralyze, 9 seconds</t>
  </si>
  <si>
    <t>PW: Stun</t>
  </si>
  <si>
    <t>Summon Djinni</t>
  </si>
  <si>
    <t>has PFMW and GOI</t>
  </si>
  <si>
    <t>control undead</t>
  </si>
  <si>
    <t>mass invisibility</t>
  </si>
  <si>
    <t>Symbol, Stun</t>
  </si>
  <si>
    <t>Could use them to prolong a paralysis from Ghoul Touch or some other short-duration paralysis effect.</t>
  </si>
  <si>
    <t>Spell Trap</t>
  </si>
  <si>
    <t>PW: Kill</t>
  </si>
  <si>
    <t>Wail of the Banshee</t>
  </si>
  <si>
    <t>Black Blade of Disaster</t>
  </si>
  <si>
    <t>flashers</t>
  </si>
  <si>
    <t>celestial fury</t>
  </si>
  <si>
    <t>implosion</t>
  </si>
  <si>
    <t>short duration paralysis effects</t>
  </si>
  <si>
    <t>bigby's clenched fist (level 8)</t>
  </si>
  <si>
    <t>Nonmagical weapon, MR blocks paralysis effect.</t>
  </si>
  <si>
    <t>If a creature gets polymorphed by Sphere of Chaos, it will have 10 base AC, 100% spell failure, and 5 maximum HP regardless of immunities.</t>
  </si>
  <si>
    <t>PW: Sleep, followed by a single source of damage, could finish off the creature.</t>
  </si>
  <si>
    <t>The chance of any one effect happening to a target over the course of Sphere of Chaos' duration is 35%, not counting the save chance.</t>
  </si>
  <si>
    <t>PW: Stun would amount to a guaranteed kill. PW: Kill would be an instant kill.</t>
  </si>
  <si>
    <t>Things that force multiple saves:</t>
  </si>
  <si>
    <t>Flashers and other weapons</t>
  </si>
  <si>
    <t>Ghoul Touch</t>
  </si>
  <si>
    <t>Web</t>
  </si>
  <si>
    <t>Stinking Cloud</t>
  </si>
  <si>
    <t>Sources of save penalties:</t>
  </si>
  <si>
    <t>Greater Malison</t>
  </si>
  <si>
    <t>Doom</t>
  </si>
  <si>
    <t>Firing Flashers against Monster Summoning critters.</t>
  </si>
  <si>
    <t>Ogrillon</t>
  </si>
  <si>
    <t>Monster Summoning 1</t>
  </si>
  <si>
    <t>Rabid Dog</t>
  </si>
  <si>
    <t>Kobold</t>
  </si>
  <si>
    <t>Summons</t>
  </si>
  <si>
    <t>Worg</t>
  </si>
  <si>
    <t>Gnoll</t>
  </si>
  <si>
    <t>Dire Wolf</t>
  </si>
  <si>
    <t>Ogre</t>
  </si>
  <si>
    <t>Hobgoblin Elite</t>
  </si>
  <si>
    <t>Monster Summoning 2</t>
  </si>
  <si>
    <t>Ettercap</t>
  </si>
  <si>
    <t>Ogre Berserker</t>
  </si>
  <si>
    <t>Monster Summoning 3</t>
  </si>
  <si>
    <t>Giant Spider</t>
  </si>
  <si>
    <t>Phase Spider</t>
  </si>
  <si>
    <t>Sword Spider</t>
  </si>
  <si>
    <t>Spider Spawn</t>
  </si>
  <si>
    <t>Invisible Stalker</t>
  </si>
  <si>
    <t>Wyvern</t>
  </si>
  <si>
    <t>Wyvern Call</t>
  </si>
  <si>
    <t>Flesh Golem</t>
  </si>
  <si>
    <t>Golem Tome</t>
  </si>
  <si>
    <t>Clay Golem</t>
  </si>
  <si>
    <t>Stone Golem</t>
  </si>
  <si>
    <t>Juggernaut Golem</t>
  </si>
  <si>
    <t>8 with Champion's Strength</t>
  </si>
  <si>
    <t>Carrion Crawler Buffs</t>
  </si>
  <si>
    <t>Skald Song, Bard Song, Champion's Strength, Spirit Armor, Regeneration, Haste</t>
  </si>
  <si>
    <t>darts of wounding</t>
  </si>
  <si>
    <t>bolts of biting</t>
  </si>
  <si>
    <t>arrows</t>
  </si>
  <si>
    <t>potion of extra healing</t>
  </si>
  <si>
    <t>protection from undead</t>
  </si>
  <si>
    <t>army scythe</t>
  </si>
  <si>
    <t>darts of stunning</t>
  </si>
  <si>
    <t>rod of resurrection</t>
  </si>
  <si>
    <t>Flame Blade deals damage through Stoneskin, PFMW, and MR.</t>
  </si>
  <si>
    <t>MI, web, invisibility, acid arrow, scorcher</t>
  </si>
  <si>
    <t>summon planetar</t>
  </si>
  <si>
    <t>summon deva</t>
  </si>
  <si>
    <t>Ghoul Touch disables through Stoneskin and strikes as a +6 weapon.</t>
  </si>
  <si>
    <t>Chill Touch deals damage through Stoneskin and strikes as a +6 weapon.</t>
  </si>
  <si>
    <t>invisibility purge</t>
  </si>
  <si>
    <t>rigid thinking</t>
  </si>
  <si>
    <t>cloak of fear</t>
  </si>
  <si>
    <t>MGOI</t>
  </si>
  <si>
    <t>Bala's Axe</t>
  </si>
  <si>
    <t>Shadowdancer-&gt;Cleric</t>
  </si>
  <si>
    <t>shadowdancer/cleric</t>
  </si>
  <si>
    <t>str</t>
  </si>
  <si>
    <t>Shadowdancer-&gt;Mage</t>
  </si>
  <si>
    <t>malison</t>
  </si>
  <si>
    <t>Fighter-&gt;Druid</t>
  </si>
  <si>
    <t>hold I</t>
  </si>
  <si>
    <t>hold II</t>
  </si>
  <si>
    <t>stun</t>
  </si>
  <si>
    <t>fear</t>
  </si>
  <si>
    <t>movement rate bonus</t>
  </si>
  <si>
    <t>disease</t>
  </si>
  <si>
    <t>spell failure</t>
  </si>
  <si>
    <t>sleep</t>
  </si>
  <si>
    <t>PW: stun</t>
  </si>
  <si>
    <t>slay</t>
  </si>
  <si>
    <t>kill</t>
  </si>
  <si>
    <t>wand of paralyzation</t>
  </si>
  <si>
    <t>summon insects</t>
  </si>
  <si>
    <t>silence</t>
  </si>
  <si>
    <t>silence 15' radius</t>
  </si>
  <si>
    <t>PW: silence</t>
  </si>
  <si>
    <t>PW: sleep</t>
  </si>
  <si>
    <t>symbol death</t>
  </si>
  <si>
    <t>hold person or mammal</t>
  </si>
  <si>
    <t>save vs. spell</t>
  </si>
  <si>
    <t>saving throws</t>
  </si>
  <si>
    <t>Unholy Blight</t>
  </si>
  <si>
    <t>Malison</t>
  </si>
  <si>
    <t>stat drain</t>
  </si>
  <si>
    <t>Color Spray</t>
  </si>
  <si>
    <t>shocking grasp</t>
  </si>
  <si>
    <t>Chill Touch</t>
  </si>
  <si>
    <t>sound burst</t>
  </si>
  <si>
    <t>hold III</t>
  </si>
  <si>
    <t>resilient sphere</t>
  </si>
  <si>
    <t>emotion: despair</t>
  </si>
  <si>
    <t>Polymorph Other</t>
  </si>
  <si>
    <t>Summon Shadow</t>
  </si>
  <si>
    <t>Shadow Door</t>
  </si>
  <si>
    <t>Waves of Fatigue</t>
  </si>
  <si>
    <t>petrification</t>
  </si>
  <si>
    <t>Acid Fog</t>
  </si>
  <si>
    <t>Feeblemind</t>
  </si>
  <si>
    <t>Summon Nishruu</t>
  </si>
  <si>
    <t>control creature</t>
  </si>
  <si>
    <t>Incendiary Cloud</t>
  </si>
  <si>
    <t>Symbol, Weakness</t>
  </si>
  <si>
    <t>Wizard Slayer-&gt;Druid</t>
  </si>
  <si>
    <t>Kensai-&gt;Druid</t>
  </si>
  <si>
    <t>Ranger-&gt;Cleric</t>
  </si>
  <si>
    <t>e</t>
  </si>
  <si>
    <t>wand of fear</t>
  </si>
  <si>
    <t>wand of fire</t>
  </si>
  <si>
    <t>wand of polymorph</t>
  </si>
  <si>
    <t>wand of lightning</t>
  </si>
  <si>
    <t>wand of missiles</t>
  </si>
  <si>
    <t>ring of the ram</t>
  </si>
  <si>
    <t>kitty</t>
  </si>
  <si>
    <t>efreeti bottle</t>
  </si>
  <si>
    <t>iron horn of valhalla</t>
  </si>
  <si>
    <t>horn of blasting</t>
  </si>
  <si>
    <t>ring of djinni summoning</t>
  </si>
  <si>
    <t>SR makes this cast Limited Wish</t>
  </si>
  <si>
    <t>ring of fire control</t>
  </si>
  <si>
    <t>summon lesser fire elemental, fire shield</t>
  </si>
  <si>
    <t>ring of air control</t>
  </si>
  <si>
    <t>summon lesser air elemental, gaseous form</t>
  </si>
  <si>
    <t>summon lesser earth elemental, stoneskin</t>
  </si>
  <si>
    <t>ring of human influence</t>
  </si>
  <si>
    <t>wand of cursing</t>
  </si>
  <si>
    <t>necklace of missiles</t>
  </si>
  <si>
    <t>non-SR</t>
  </si>
  <si>
    <t>arrow of dispelling</t>
  </si>
  <si>
    <t>bala's axe</t>
  </si>
  <si>
    <t>the sleeper</t>
  </si>
  <si>
    <t>nymph cloak</t>
  </si>
  <si>
    <t>stiletto of demarchess</t>
  </si>
  <si>
    <t>helm of brilliance</t>
  </si>
  <si>
    <t>kuo-toa bolt</t>
  </si>
  <si>
    <t>armor of the viper, cloudkill</t>
  </si>
  <si>
    <t>sling of arvoreen</t>
  </si>
  <si>
    <t>staff of command</t>
  </si>
  <si>
    <t>staff of curing</t>
  </si>
  <si>
    <t>staff of power</t>
  </si>
  <si>
    <t>staff of the woodlands</t>
  </si>
  <si>
    <t>staff of fire</t>
  </si>
  <si>
    <t>ilbratha</t>
  </si>
  <si>
    <t>dragonslayer</t>
  </si>
  <si>
    <t>ras</t>
  </si>
  <si>
    <t>short sword of mask</t>
  </si>
  <si>
    <t>harbinger</t>
  </si>
  <si>
    <t>flasher launcher, blindness</t>
  </si>
  <si>
    <t>skald party</t>
  </si>
  <si>
    <t>EE</t>
  </si>
  <si>
    <t>EE?</t>
  </si>
  <si>
    <t>Wizard Slayer/Thief</t>
  </si>
  <si>
    <t>tuigan bow 4, crossbow 1, two-handed sword 1</t>
  </si>
  <si>
    <t>darts 1, scimitar 1</t>
  </si>
  <si>
    <t>Assassin(9)/Fighter</t>
  </si>
  <si>
    <t>Shadowdancer(9)/Cleric</t>
  </si>
  <si>
    <t>take rasaad to the city gates</t>
  </si>
  <si>
    <t>dracandros in the bridge district</t>
  </si>
  <si>
    <t>adalon</t>
  </si>
  <si>
    <t>wild mage camp</t>
  </si>
  <si>
    <t>dorn in ToB, ambush likely in forest of mir</t>
  </si>
  <si>
    <t>take the cloak of bravery</t>
  </si>
  <si>
    <t>self sacrifice</t>
  </si>
  <si>
    <t>slay the dragon</t>
  </si>
  <si>
    <t>save the genie</t>
  </si>
  <si>
    <t>don't give in when fighting sarevok</t>
  </si>
  <si>
    <t>extra CON</t>
  </si>
  <si>
    <t>10 MR</t>
  </si>
  <si>
    <t>200k xp</t>
  </si>
  <si>
    <t>2 ST</t>
  </si>
  <si>
    <t>1 WIS and CHA</t>
  </si>
  <si>
    <t>BMU</t>
  </si>
  <si>
    <t>Fighter/Mage/Cleric</t>
  </si>
  <si>
    <t>Fighter/Mage/Thief</t>
  </si>
  <si>
    <t>Wilson</t>
  </si>
  <si>
    <t>Neera</t>
  </si>
  <si>
    <t>Rasaad</t>
  </si>
  <si>
    <t>mm, spook, shield, pro petrification, blindness</t>
  </si>
  <si>
    <t>slow, invisibility 10' radius, MMM, pro fire, MSD, haste</t>
  </si>
  <si>
    <t>sunfire, SI, breach, feeblemind, hold monster, MST</t>
  </si>
  <si>
    <t>stoneskin, teleport field, GM, minor sequencer, secret word</t>
  </si>
  <si>
    <t>PFMW, IH, pierce magic, contingency, pro magic energy</t>
  </si>
  <si>
    <t>horrid wilting, maze, PW: blind, pierce shield, spell trigger, summon fiend</t>
  </si>
  <si>
    <t>PI, RRoR, warding whip, limited wish, spell sequencer, mordenkainen's sword</t>
  </si>
  <si>
    <t>time stop, spellstrike, shapechange, wish, chain contingency</t>
  </si>
  <si>
    <t>death ward, pro evil 10 radius, pro lightning, neutralize poison, call woodland beings, holy power, farsight</t>
  </si>
  <si>
    <t>death ward, pro evil 10 radius, farsight, pro lightning, neutralize poison</t>
  </si>
  <si>
    <t>Two Spell Thrust spells will take down both Spell Shield and MGOI. Secret Word would be needed to take down GOI.</t>
  </si>
  <si>
    <t>All are blocked by GOI and MGOI.</t>
  </si>
  <si>
    <t>spell protections</t>
  </si>
  <si>
    <t>shapeshifting</t>
  </si>
  <si>
    <t>physical mirror</t>
  </si>
  <si>
    <t>traps</t>
  </si>
  <si>
    <t>removed</t>
  </si>
  <si>
    <t>SI, spell deflection/trap/turning, GOI</t>
  </si>
  <si>
    <t>stoneskin, PFMW</t>
  </si>
  <si>
    <t>90 HP for liches, 190 HP for mages</t>
  </si>
  <si>
    <t>spike trap</t>
  </si>
  <si>
    <t>UAI</t>
  </si>
  <si>
    <t>avoid death</t>
  </si>
  <si>
    <t>planetar</t>
  </si>
  <si>
    <t>level 6 spell</t>
  </si>
  <si>
    <t>level 8</t>
  </si>
  <si>
    <t>brac</t>
  </si>
  <si>
    <t>spwi508</t>
  </si>
  <si>
    <t>casting speed</t>
  </si>
  <si>
    <t>movement rate</t>
  </si>
  <si>
    <t>spwi411</t>
  </si>
  <si>
    <t>Emotion: Despair</t>
  </si>
  <si>
    <t>spell -3</t>
  </si>
  <si>
    <t>spwi106</t>
  </si>
  <si>
    <t>Obscuring Mist</t>
  </si>
  <si>
    <t>missile THAC0, -4</t>
  </si>
  <si>
    <t>sppr525</t>
  </si>
  <si>
    <t>Animal Growth</t>
  </si>
  <si>
    <t>150% HP</t>
  </si>
  <si>
    <t>sppr513</t>
  </si>
  <si>
    <t>Defensive Harmony</t>
  </si>
  <si>
    <t>sppr202</t>
  </si>
  <si>
    <t>Barkskin</t>
  </si>
  <si>
    <t>3 AC before level 15</t>
  </si>
  <si>
    <t>sppr209</t>
  </si>
  <si>
    <t>Know Opponent</t>
  </si>
  <si>
    <t>physical damage resistance</t>
  </si>
  <si>
    <t>dvwinded</t>
  </si>
  <si>
    <t>5 rounds~</t>
  </si>
  <si>
    <t>zero movement rate</t>
  </si>
  <si>
    <t>dvthorns</t>
  </si>
  <si>
    <t>dvstun</t>
  </si>
  <si>
    <t>dvstench</t>
  </si>
  <si>
    <t>20% spell failure</t>
  </si>
  <si>
    <t>dvstdust</t>
  </si>
  <si>
    <t>dvstag</t>
  </si>
  <si>
    <t>dvspratt</t>
  </si>
  <si>
    <t>200% movement rate</t>
  </si>
  <si>
    <t>dvsleep</t>
  </si>
  <si>
    <t>dvslay</t>
  </si>
  <si>
    <t>dvsingsw</t>
  </si>
  <si>
    <t>dvshloth</t>
  </si>
  <si>
    <t>dvshille</t>
  </si>
  <si>
    <t>dvsharp</t>
  </si>
  <si>
    <t>dvburst</t>
  </si>
  <si>
    <t>4d4 crushing</t>
  </si>
  <si>
    <t>dvprlyze</t>
  </si>
  <si>
    <t>dvmindbr</t>
  </si>
  <si>
    <t>spell -4</t>
  </si>
  <si>
    <t>dvkndown</t>
  </si>
  <si>
    <t>Illusionist/Thief</t>
  </si>
  <si>
    <t>ruva, bounty hunter</t>
  </si>
  <si>
    <t>ruva, wizard slayer/thief</t>
  </si>
  <si>
    <t>laosha, archer</t>
  </si>
  <si>
    <t>Archer(13)-&gt;Mage</t>
  </si>
  <si>
    <t>maze at will</t>
  </si>
  <si>
    <t>improved alacrity traps</t>
  </si>
  <si>
    <t>WoL BoL</t>
  </si>
  <si>
    <t>WoL Called Shot</t>
  </si>
  <si>
    <t>slayer trick, 100 MR</t>
  </si>
  <si>
    <t>slayer trick, damage resistance</t>
  </si>
  <si>
    <t>infinite spells, not EE</t>
  </si>
  <si>
    <t>Shapeshifter(23)-&gt;Fighter</t>
  </si>
  <si>
    <t>greater werewolf form</t>
  </si>
  <si>
    <t>Assassin(13)-&gt;Fighter</t>
  </si>
  <si>
    <t>Assassin(13)-&gt;Mage</t>
  </si>
  <si>
    <t>scorcher loop</t>
  </si>
  <si>
    <t>song stacking, scorcher loop</t>
  </si>
  <si>
    <t>Cleric of Lathander(21)-&gt;Mage</t>
  </si>
  <si>
    <t>spell failure on Fire Seeds</t>
  </si>
  <si>
    <t>skald, restless</t>
  </si>
  <si>
    <t>WoL:</t>
  </si>
  <si>
    <t>Tenser's Transformation (does not multiply APR)</t>
  </si>
  <si>
    <t>Limited Wish</t>
  </si>
  <si>
    <t>False Dawn</t>
  </si>
  <si>
    <t>Sunray</t>
  </si>
  <si>
    <t>Holy Word</t>
  </si>
  <si>
    <t>singing sword</t>
  </si>
  <si>
    <t>Frisk</t>
  </si>
  <si>
    <t>Sans</t>
  </si>
  <si>
    <t>Undyne</t>
  </si>
  <si>
    <t>Papyrus</t>
  </si>
  <si>
    <t>Asriel</t>
  </si>
  <si>
    <t>Berserker/Cleric</t>
  </si>
  <si>
    <t>Cat</t>
  </si>
  <si>
    <t>vampire</t>
  </si>
  <si>
    <t>horrid wilting</t>
  </si>
  <si>
    <t>wakizashi</t>
  </si>
  <si>
    <t>dagger</t>
  </si>
  <si>
    <t>club</t>
  </si>
  <si>
    <t>dart</t>
  </si>
  <si>
    <t>short bow</t>
  </si>
  <si>
    <t>level 6</t>
  </si>
  <si>
    <t>level 12</t>
  </si>
  <si>
    <t>level 3</t>
  </si>
  <si>
    <t>saves</t>
  </si>
  <si>
    <t>conjuration</t>
  </si>
  <si>
    <t>evocation</t>
  </si>
  <si>
    <t>illusion</t>
  </si>
  <si>
    <t>necromancy</t>
  </si>
  <si>
    <t>transmutation</t>
  </si>
  <si>
    <t>SR color spray</t>
  </si>
  <si>
    <t>SR chromatic orb</t>
  </si>
  <si>
    <t>SR sleep</t>
  </si>
  <si>
    <t>SR stinking cloud</t>
  </si>
  <si>
    <t>SR web</t>
  </si>
  <si>
    <t>SR deafness/sound burst</t>
  </si>
  <si>
    <t>SR resilient sphere</t>
  </si>
  <si>
    <t>resilient sphere?</t>
  </si>
  <si>
    <t>SR sphere of chaos</t>
  </si>
  <si>
    <t>SR prismatic spray</t>
  </si>
  <si>
    <t>delayed blast fireball</t>
  </si>
  <si>
    <t>symbol fear/symbol of weakness</t>
  </si>
  <si>
    <t>SR bigby's clenched fist</t>
  </si>
  <si>
    <t>bigby's clenched fist?</t>
  </si>
  <si>
    <t>SR meteor swarm</t>
  </si>
  <si>
    <t>SR power word: kill</t>
  </si>
  <si>
    <t>SR bigby's crushing hand</t>
  </si>
  <si>
    <t>bigby's crushing hand?</t>
  </si>
  <si>
    <t>wail of the banshee</t>
  </si>
  <si>
    <t>SR comet</t>
  </si>
  <si>
    <t>comet?</t>
  </si>
  <si>
    <t>SR dragon's breath</t>
  </si>
  <si>
    <t>dragon's breath?</t>
  </si>
  <si>
    <t>SR power word: sleep</t>
  </si>
  <si>
    <t>greater malison</t>
  </si>
  <si>
    <t>specialization</t>
  </si>
  <si>
    <t>SR doom</t>
  </si>
  <si>
    <t>SR silence 15' radius</t>
  </si>
  <si>
    <t>glyph of warding?</t>
  </si>
  <si>
    <t>SR glyph of warding</t>
  </si>
  <si>
    <t>SR contagion</t>
  </si>
  <si>
    <t>unholy blight</t>
  </si>
  <si>
    <t>cloak of fear?</t>
  </si>
  <si>
    <t>SR repulsion</t>
  </si>
  <si>
    <t>blade barrier?</t>
  </si>
  <si>
    <t>SR firestorm</t>
  </si>
  <si>
    <t>globe of blades</t>
  </si>
  <si>
    <t>silence 15' radius?</t>
  </si>
  <si>
    <t>Enchanter/Cleric</t>
  </si>
  <si>
    <t>Seducer</t>
  </si>
  <si>
    <t>SHTHSTOR</t>
  </si>
  <si>
    <t>SLSHOP01</t>
  </si>
  <si>
    <t>OHBSDWM</t>
  </si>
  <si>
    <t>OHNSDWM</t>
  </si>
  <si>
    <t>JAYES</t>
  </si>
  <si>
    <t>DSHOP01</t>
  </si>
  <si>
    <t>slums</t>
  </si>
  <si>
    <t>adventure mart</t>
  </si>
  <si>
    <t>fletcher</t>
  </si>
  <si>
    <t>dvdoom</t>
  </si>
  <si>
    <t>dvdoompl</t>
  </si>
  <si>
    <t>dvfreeze</t>
  </si>
  <si>
    <t>dvholdun</t>
  </si>
  <si>
    <t>dvhope</t>
  </si>
  <si>
    <t>SR staff of command</t>
  </si>
  <si>
    <t>SR doomplate</t>
  </si>
  <si>
    <t>bone club</t>
  </si>
  <si>
    <t>Enchanter(9)-&gt;Cleric</t>
  </si>
  <si>
    <t>shortbow</t>
  </si>
  <si>
    <t>spear</t>
  </si>
  <si>
    <t>longsword</t>
  </si>
  <si>
    <t>Archer-&gt;Thief</t>
  </si>
  <si>
    <t>Archer-&gt;Mage</t>
  </si>
  <si>
    <t>keldor8</t>
  </si>
  <si>
    <t>BoL</t>
  </si>
  <si>
    <t>Cleric of Lathander/Mage</t>
  </si>
  <si>
    <t>tenser's</t>
  </si>
  <si>
    <t>Cleric of Lathander/Thief</t>
  </si>
  <si>
    <t>Fighter/Enchanter</t>
  </si>
  <si>
    <t>Wizard Slayer/Druid</t>
  </si>
  <si>
    <t>short swords</t>
  </si>
  <si>
    <t>maces</t>
  </si>
  <si>
    <t>mace</t>
  </si>
  <si>
    <t>Shadow Stealer</t>
  </si>
  <si>
    <t>fighter class</t>
  </si>
  <si>
    <t>fighter/mage</t>
  </si>
  <si>
    <t>fighter/cleric</t>
  </si>
  <si>
    <t>fighter/mage/thief</t>
  </si>
  <si>
    <t>fighter/mage/cleric</t>
  </si>
  <si>
    <t>Magic Missile</t>
  </si>
  <si>
    <t>Chromatic Orb</t>
  </si>
  <si>
    <t>Agannazar's Scorcher</t>
  </si>
  <si>
    <t>Flame Arrow</t>
  </si>
  <si>
    <t>Lightning Bolt</t>
  </si>
  <si>
    <t>Fireball</t>
  </si>
  <si>
    <t>Chain Lightning</t>
  </si>
  <si>
    <t>Sunfire</t>
  </si>
  <si>
    <t>Cone of Cold</t>
  </si>
  <si>
    <t>Disintegrate</t>
  </si>
  <si>
    <t>2d4</t>
  </si>
  <si>
    <t>15d6</t>
  </si>
  <si>
    <t>Staff of Earth</t>
  </si>
  <si>
    <t>Entropy</t>
  </si>
  <si>
    <t>Bone Club</t>
  </si>
  <si>
    <t>Shadowdancer(8)-&gt;Cleric</t>
  </si>
  <si>
    <t>12 INT</t>
  </si>
  <si>
    <t>entropy</t>
  </si>
  <si>
    <t>staff of earth</t>
  </si>
  <si>
    <t>wish</t>
  </si>
  <si>
    <t>Archer(9)-&gt;Mage</t>
  </si>
  <si>
    <t>spike growth</t>
  </si>
  <si>
    <t>IWD:EE</t>
  </si>
  <si>
    <t>Number of strikes</t>
  </si>
  <si>
    <t>Minor Sequencer, Minor Spell Turning</t>
  </si>
  <si>
    <t>Minor Spell Turning, MST Contingency</t>
  </si>
  <si>
    <t>Minor Spell Turning</t>
  </si>
  <si>
    <t>Spell Turning</t>
  </si>
  <si>
    <t>sash</t>
  </si>
  <si>
    <t>talisman</t>
  </si>
  <si>
    <t>entropy shield</t>
  </si>
  <si>
    <t>champion's strength</t>
  </si>
  <si>
    <t>Slow</t>
  </si>
  <si>
    <t>Charm Person</t>
  </si>
  <si>
    <t>Dire Charm</t>
  </si>
  <si>
    <t>Emotion</t>
  </si>
  <si>
    <t>Chaos</t>
  </si>
  <si>
    <t>Command</t>
  </si>
  <si>
    <t>Hold Person</t>
  </si>
  <si>
    <t>Greater Command</t>
  </si>
  <si>
    <t>dart of stunning</t>
  </si>
  <si>
    <t>chaos blade</t>
  </si>
  <si>
    <t>spider form</t>
  </si>
  <si>
    <t>ogre form</t>
  </si>
  <si>
    <t>dak'kon's zerth blade</t>
  </si>
  <si>
    <t>Chara</t>
  </si>
  <si>
    <t>Fighter/Invoker</t>
  </si>
  <si>
    <t>Cleric of Tyr(11)-&gt;Mage</t>
  </si>
  <si>
    <t>penalty</t>
  </si>
  <si>
    <t>cloak of the shield</t>
  </si>
  <si>
    <t>chant?</t>
  </si>
  <si>
    <t>divine favor</t>
  </si>
  <si>
    <t>scribe scrolls?</t>
  </si>
  <si>
    <t>alchemy?</t>
  </si>
  <si>
    <t>shadow twin?</t>
  </si>
  <si>
    <t>shadow maze</t>
  </si>
  <si>
    <t>repulse undead?</t>
  </si>
  <si>
    <t>ring of spell turning? (saerk and ardulace?)</t>
  </si>
  <si>
    <t>book of daily spell</t>
  </si>
  <si>
    <t>cloak of stars</t>
  </si>
  <si>
    <t>golem manual</t>
  </si>
  <si>
    <t>potion of healing</t>
  </si>
  <si>
    <t>potion of stone form</t>
  </si>
  <si>
    <t>potion of magic protection</t>
  </si>
  <si>
    <t>potion of regeneration?</t>
  </si>
  <si>
    <t>wand of frost</t>
  </si>
  <si>
    <t>wand of cloudkill</t>
  </si>
  <si>
    <t>wand of monster summoning</t>
  </si>
  <si>
    <t>wand of spell striking (breach only?)</t>
  </si>
  <si>
    <t>rod of reversal</t>
  </si>
  <si>
    <t>protection from magic</t>
  </si>
  <si>
    <t>protection from acid/cold/electricity/fire/poison</t>
  </si>
  <si>
    <t>ritual scroll? (helm, end of watcher's keep)</t>
  </si>
  <si>
    <t>innate abilities</t>
  </si>
  <si>
    <t>items</t>
  </si>
  <si>
    <t>scrolls</t>
  </si>
  <si>
    <t>magic missile</t>
  </si>
  <si>
    <t>melf's acid arrow</t>
  </si>
  <si>
    <t>agannazar's scorcher</t>
  </si>
  <si>
    <t>lower resistance</t>
  </si>
  <si>
    <t>minor spell turning</t>
  </si>
  <si>
    <t>ruby ray of reversal</t>
  </si>
  <si>
    <t>symbol, stun</t>
  </si>
  <si>
    <t>Lower Resistance</t>
  </si>
  <si>
    <t>Doom+Chromatic Orb</t>
  </si>
  <si>
    <t>Specialization</t>
  </si>
  <si>
    <t>Archer/Enchanter/Cleric of Tyr</t>
  </si>
  <si>
    <t>Archer/Enchanter/Cleric of Lathander</t>
  </si>
  <si>
    <t>Archer/Enchanter/Bounty Hunter</t>
  </si>
  <si>
    <t>Archer/Enchanter/Shadowdancer</t>
  </si>
  <si>
    <t>energy drain</t>
  </si>
  <si>
    <t>Cleric of Tyr</t>
  </si>
  <si>
    <t>Shaman</t>
  </si>
  <si>
    <t>Dispel Magic</t>
  </si>
  <si>
    <t>Blindness</t>
  </si>
  <si>
    <t>Mirror Image</t>
  </si>
  <si>
    <t>Hold Undead</t>
  </si>
  <si>
    <t>Shadow Thief Dagger</t>
  </si>
  <si>
    <t>Embarl's Dagger</t>
  </si>
  <si>
    <t>Shaman's Staff</t>
  </si>
  <si>
    <t>Staff (City of Caverns)</t>
  </si>
  <si>
    <t>Blackrazor</t>
  </si>
  <si>
    <t>Flame Blade</t>
  </si>
  <si>
    <t>Spiritual Hammer</t>
  </si>
  <si>
    <t>Shillelagh</t>
  </si>
  <si>
    <t>Cause Wounds</t>
  </si>
  <si>
    <t>Fire Seeds</t>
  </si>
  <si>
    <t>Ogre form</t>
  </si>
  <si>
    <t>Spider form</t>
  </si>
  <si>
    <t>Flind form</t>
  </si>
  <si>
    <t>Phantom Blade</t>
  </si>
  <si>
    <t>valos, necromancer</t>
  </si>
  <si>
    <t>poppy, enchanter</t>
  </si>
  <si>
    <t>espellier, invoker</t>
  </si>
  <si>
    <t>laosha, cleric of tyr/mage</t>
  </si>
  <si>
    <t>fobie, archer/mage</t>
  </si>
  <si>
    <t>Wizard Slayer(13)-&gt;Druid</t>
  </si>
  <si>
    <t>Cleric of Lathander(15)-&gt;Mage</t>
  </si>
  <si>
    <t>glyph of warding</t>
  </si>
  <si>
    <t>firestorm</t>
  </si>
  <si>
    <t>shaman</t>
  </si>
  <si>
    <t>gesen</t>
  </si>
  <si>
    <t>DEX/STR</t>
  </si>
  <si>
    <t>dual-wielding</t>
  </si>
  <si>
    <t>Transmuter(8)-&gt;Thief</t>
  </si>
  <si>
    <t>Invoker(10)-&gt;Cleric</t>
  </si>
  <si>
    <t>Scimitar (City of Caverns, only for Shamans?)</t>
  </si>
  <si>
    <t>Remove Magic, Defensive Spin</t>
  </si>
  <si>
    <t>HLAs</t>
  </si>
  <si>
    <t>Spider form, ogre backstabs</t>
  </si>
  <si>
    <t>Chromatic Orb, Blade Barrier, Globe of Blades</t>
  </si>
  <si>
    <t>Blade Barrier</t>
  </si>
  <si>
    <t>Globe of Blades</t>
  </si>
  <si>
    <t>Grease</t>
  </si>
  <si>
    <t>Prismatic Spray</t>
  </si>
  <si>
    <t>Cloak of Fear</t>
  </si>
  <si>
    <t>Spook</t>
  </si>
  <si>
    <t>Deafness</t>
  </si>
  <si>
    <t>Flesh to Stone</t>
  </si>
  <si>
    <t>Earthquake</t>
  </si>
  <si>
    <t>Horror</t>
  </si>
  <si>
    <t>Glitterdust</t>
  </si>
  <si>
    <t>Contagion</t>
  </si>
  <si>
    <t>Finger of Death</t>
  </si>
  <si>
    <t>Holy Smite</t>
  </si>
  <si>
    <t>Horrid Wilting</t>
  </si>
  <si>
    <t>Poison</t>
  </si>
  <si>
    <t>Hold Monster</t>
  </si>
  <si>
    <t>Domination</t>
  </si>
  <si>
    <t>Delayed Blast Fireball</t>
  </si>
  <si>
    <t>Invoker/Cleric</t>
  </si>
  <si>
    <t>Transmuter/Cleric</t>
  </si>
  <si>
    <t>Conjurer/Cleric</t>
  </si>
  <si>
    <t>Necromancer/Cleric</t>
  </si>
  <si>
    <t>Flame Strike</t>
  </si>
  <si>
    <t>Silence 15' Radius</t>
  </si>
  <si>
    <t>no physical damage</t>
  </si>
  <si>
    <t>poverty</t>
  </si>
  <si>
    <t>no weapons</t>
  </si>
  <si>
    <t>pro evil 10' radius</t>
  </si>
  <si>
    <t xml:space="preserve">sunray </t>
  </si>
  <si>
    <t>MSD</t>
  </si>
  <si>
    <t>pro normal missiles</t>
  </si>
  <si>
    <t>spell immunity</t>
  </si>
  <si>
    <t>contingency</t>
  </si>
  <si>
    <t>chain contingency</t>
  </si>
  <si>
    <t>WotB</t>
  </si>
  <si>
    <t>BBoD</t>
  </si>
  <si>
    <t>freedom</t>
  </si>
  <si>
    <t>on-self spells</t>
  </si>
  <si>
    <t>Poppy</t>
  </si>
  <si>
    <t>Espellier</t>
  </si>
  <si>
    <t>Valos</t>
  </si>
  <si>
    <t>Snowy Tae</t>
  </si>
  <si>
    <t>Invoker(2)-&gt;Cleric</t>
  </si>
  <si>
    <t>Wizard Slayer(2)-&gt;Druid</t>
  </si>
  <si>
    <t>Wizard Slayer(7)-&gt;Druid</t>
  </si>
  <si>
    <t>Death Fog</t>
  </si>
  <si>
    <t>1d4</t>
  </si>
  <si>
    <t>3d4</t>
  </si>
  <si>
    <t>4d4</t>
  </si>
  <si>
    <t>Ray of Enfeeblement</t>
  </si>
  <si>
    <t>Cleric of Talos</t>
  </si>
  <si>
    <t>Berserker(9)-&gt;Mage</t>
  </si>
  <si>
    <t>Invoker-&gt;Cleric</t>
  </si>
  <si>
    <t>nonlethal damage</t>
  </si>
  <si>
    <t>Shadowdancer/Cleric</t>
  </si>
  <si>
    <t>invoker/cleric</t>
  </si>
  <si>
    <t>enchanter/cleric</t>
  </si>
  <si>
    <t>xzar</t>
  </si>
  <si>
    <t>ajantis</t>
  </si>
  <si>
    <t>shar-teel</t>
  </si>
  <si>
    <t>wilson</t>
  </si>
  <si>
    <t>abjurer</t>
  </si>
  <si>
    <t>lathander</t>
  </si>
  <si>
    <t>talos</t>
  </si>
  <si>
    <t>tyr</t>
  </si>
  <si>
    <t>tempus</t>
  </si>
  <si>
    <t>spells</t>
  </si>
  <si>
    <t>pro petrification</t>
  </si>
  <si>
    <t>all warrior HLAs</t>
  </si>
  <si>
    <t>assassination</t>
  </si>
  <si>
    <t>all shadowdancer and shaman HLAs</t>
  </si>
  <si>
    <t>contingencies and sequencers</t>
  </si>
  <si>
    <t>clone spells</t>
  </si>
  <si>
    <t>magical weapon spells</t>
  </si>
  <si>
    <t>wizard slayer(7)-&gt;cleric</t>
  </si>
  <si>
    <t>seducer</t>
  </si>
  <si>
    <t>fighter/illusionist</t>
  </si>
  <si>
    <t>phase spider</t>
  </si>
  <si>
    <t>cleric/illusionist</t>
  </si>
  <si>
    <t>wizard slayer(7)-&gt;mage</t>
  </si>
  <si>
    <t>cleric of tyr</t>
  </si>
  <si>
    <t>yoshimo/imoen</t>
  </si>
  <si>
    <t>shadowdancer(8)-&gt;mage</t>
  </si>
  <si>
    <t>bow</t>
  </si>
  <si>
    <t>fatigue</t>
  </si>
  <si>
    <t>level 2</t>
  </si>
  <si>
    <t>Shadowdancer(8)-&gt;Mage</t>
  </si>
  <si>
    <t>Shadowdancer(9)-&gt;Fighter</t>
  </si>
  <si>
    <t>Inquisitor if Dispel Magic not nerfed</t>
  </si>
  <si>
    <t>improved haste</t>
  </si>
  <si>
    <t>maze?</t>
  </si>
  <si>
    <t>power word: blind</t>
  </si>
  <si>
    <t>free action</t>
  </si>
  <si>
    <t>elemental summoning</t>
  </si>
  <si>
    <t>bolt of glory</t>
  </si>
  <si>
    <t>Archer/Illusionist/Shadowdancer</t>
  </si>
  <si>
    <t>Cleric of Lathander/Invoker</t>
  </si>
  <si>
    <t>Berserker/Bounty Hunter</t>
  </si>
  <si>
    <t>Wizard Slayer/Shapeshifter</t>
  </si>
  <si>
    <t>opcode 72 can change a critter's IDS type</t>
  </si>
  <si>
    <t>this can change a critter to undead, humanoid, animal, summoned demon, illusionary gender, evil, or something else</t>
  </si>
  <si>
    <t>Unholy Word</t>
  </si>
  <si>
    <t>Hold Animal</t>
  </si>
  <si>
    <t>Charm Person or Mammal</t>
  </si>
  <si>
    <t>IDS-dependent spells and items include:</t>
  </si>
  <si>
    <t>Protection from Undead</t>
  </si>
  <si>
    <t>Control Undead</t>
  </si>
  <si>
    <t>Repulse Undead</t>
  </si>
  <si>
    <t>Turn Undead</t>
  </si>
  <si>
    <t>Nature's Beauty</t>
  </si>
  <si>
    <t>humanoids</t>
  </si>
  <si>
    <t>evil</t>
  </si>
  <si>
    <t>good</t>
  </si>
  <si>
    <t>animal, humanoid</t>
  </si>
  <si>
    <t>evil; summoned demons</t>
  </si>
  <si>
    <t>killing anything despite immunities</t>
  </si>
  <si>
    <t>invisibility to anything</t>
  </si>
  <si>
    <t>holding anything despite immunities</t>
  </si>
  <si>
    <t>spell failure on anything</t>
  </si>
  <si>
    <t>repulsing anything</t>
  </si>
  <si>
    <t>turning anything</t>
  </si>
  <si>
    <t>killing anything</t>
  </si>
  <si>
    <t>Charm Animal</t>
  </si>
  <si>
    <t>Druid's Ring (charm animal)</t>
  </si>
  <si>
    <t>charming anything for long durations</t>
  </si>
  <si>
    <t>Ring of Elemental Control</t>
  </si>
  <si>
    <t>fire/earth/air elemental</t>
  </si>
  <si>
    <t>2 bonus to save, 45 seconds, bypasses spell protections and MR</t>
  </si>
  <si>
    <t>Staff of the Woodlands</t>
  </si>
  <si>
    <t>bypasses spell protections, save at -4</t>
  </si>
  <si>
    <t>Staff of Elemental Control</t>
  </si>
  <si>
    <t>slay opcode, save vs. spell, bypasses spell protections and MR</t>
  </si>
  <si>
    <t>Rod of Smiting</t>
  </si>
  <si>
    <t>slay opcode, save vs. death, bypasses spell protections and MR</t>
  </si>
  <si>
    <t>holding anything for long durations</t>
  </si>
  <si>
    <t>charming anything despite immunities</t>
  </si>
  <si>
    <t>Bolt of Glory</t>
  </si>
  <si>
    <t>varies</t>
  </si>
  <si>
    <t>nonmagical damage on anything</t>
  </si>
  <si>
    <t>Death Spell</t>
  </si>
  <si>
    <t>summoned</t>
  </si>
  <si>
    <t>slay without save</t>
  </si>
  <si>
    <t>slay without save, bypasses MR</t>
  </si>
  <si>
    <t>Arrow of Dispelling</t>
  </si>
  <si>
    <t>Mace of Disruption</t>
  </si>
  <si>
    <t>Azuredge</t>
  </si>
  <si>
    <t>Runehammer</t>
  </si>
  <si>
    <t>Wave +4</t>
  </si>
  <si>
    <t>fire elemental/salamander/efreeti</t>
  </si>
  <si>
    <t>troll/ettin/clay golem/stone golem</t>
  </si>
  <si>
    <t>Staff of the Magi</t>
  </si>
  <si>
    <t>Harbinger</t>
  </si>
  <si>
    <t>ogre</t>
  </si>
  <si>
    <t>save vs. spell, bypasses MR and spell protections</t>
  </si>
  <si>
    <t>Abjuration</t>
  </si>
  <si>
    <t>Transmutation</t>
  </si>
  <si>
    <t>Conjuration</t>
  </si>
  <si>
    <t>Evocation</t>
  </si>
  <si>
    <t>Enchantment</t>
  </si>
  <si>
    <t>Wizard Slayer(13)-&gt;Thief</t>
  </si>
  <si>
    <t>Berserker(13)-&gt;Druid</t>
  </si>
  <si>
    <t>Sil 25</t>
  </si>
  <si>
    <t>sil, blind kensai/thief</t>
  </si>
  <si>
    <t>meidao 9</t>
  </si>
  <si>
    <t>meidao, cleric/illusionist</t>
  </si>
  <si>
    <t>zalos 9</t>
  </si>
  <si>
    <t>zalos, fighter/mage underused run</t>
  </si>
  <si>
    <t>viora, shadowdancer/cleric</t>
  </si>
  <si>
    <t>laosha, totemic druid</t>
  </si>
  <si>
    <t>zulfer, assassin/fighter</t>
  </si>
  <si>
    <t>yorun zovai, sorcerer</t>
  </si>
  <si>
    <t>viora 30</t>
  </si>
  <si>
    <t>azelos, conjurer</t>
  </si>
  <si>
    <t>viora 18</t>
  </si>
  <si>
    <t>LoB 11</t>
  </si>
  <si>
    <t>poppy, barbarian</t>
  </si>
  <si>
    <t>laosha, seducer</t>
  </si>
  <si>
    <t>blueberry, phase spider</t>
  </si>
  <si>
    <t>archer(13)-&gt;mage</t>
  </si>
  <si>
    <t>wizard slayer(13)-&gt;druid</t>
  </si>
  <si>
    <t>cleric of lathander(15)-&gt;mage</t>
  </si>
  <si>
    <t>Archer(9)-&gt;Druid</t>
  </si>
  <si>
    <t>Enchanter(8)-&gt;Cleric</t>
  </si>
  <si>
    <t>DD</t>
  </si>
  <si>
    <t>multi-class</t>
  </si>
  <si>
    <t>imber 5</t>
  </si>
  <si>
    <t>imber, illusionist/thief</t>
  </si>
  <si>
    <t>poppy 12</t>
  </si>
  <si>
    <t>FC</t>
  </si>
  <si>
    <t>RC</t>
  </si>
  <si>
    <t>FD</t>
  </si>
  <si>
    <t>CM</t>
  </si>
  <si>
    <t>single-class</t>
  </si>
  <si>
    <t>triple-class</t>
  </si>
  <si>
    <t>1.66 million XP cap</t>
  </si>
  <si>
    <t>maximum level to dual-class</t>
  </si>
  <si>
    <t>mage 10</t>
  </si>
  <si>
    <t>thief 11</t>
  </si>
  <si>
    <t>fighter 9</t>
  </si>
  <si>
    <t>ranger 9 (cleric 12)</t>
  </si>
  <si>
    <t>cleric 9 (ranger 11)</t>
  </si>
  <si>
    <t>fighter 10 (druid 13)</t>
  </si>
  <si>
    <t>druid 11 (fighter 12)</t>
  </si>
  <si>
    <t>fighter 8 (mage 13)</t>
  </si>
  <si>
    <t>mage 11 (thief 14)</t>
  </si>
  <si>
    <t>thief 11 (mage 12)</t>
  </si>
  <si>
    <t>cleric 10 (thief 14)</t>
  </si>
  <si>
    <t>thief 11 (cleric 12)</t>
  </si>
  <si>
    <t>mage 11 (cleric 12)</t>
  </si>
  <si>
    <t>cleric 10 (mage 12)</t>
  </si>
  <si>
    <t>archer/mage</t>
  </si>
  <si>
    <t>berserker/mage</t>
  </si>
  <si>
    <t>berserker/thief</t>
  </si>
  <si>
    <t>wizard slayer/druid</t>
  </si>
  <si>
    <t>totemic druid/fighter</t>
  </si>
  <si>
    <t>avenger/fighter</t>
  </si>
  <si>
    <t>berserker/druid</t>
  </si>
  <si>
    <t>bounty hunter/fighter</t>
  </si>
  <si>
    <t>swashbuckler (10) fighter (12)</t>
  </si>
  <si>
    <t>cleric 10 (fighter 12)</t>
  </si>
  <si>
    <t>fighter 10 (cleric 12)</t>
  </si>
  <si>
    <t>berserker/cleric</t>
  </si>
  <si>
    <t>wizard slayer/cleric</t>
  </si>
  <si>
    <t>cleric of lathander/fighter</t>
  </si>
  <si>
    <t>cleric of helm/fighter</t>
  </si>
  <si>
    <t>archer/cleric</t>
  </si>
  <si>
    <t>cleric of lathander/ranger</t>
  </si>
  <si>
    <t>bounty hunter/mage</t>
  </si>
  <si>
    <t>assassin/mage</t>
  </si>
  <si>
    <t>swashbuckler/mage</t>
  </si>
  <si>
    <t>cleric of lathander/mage</t>
  </si>
  <si>
    <t>lath/mage</t>
  </si>
  <si>
    <t>boon</t>
  </si>
  <si>
    <t>bounty hunter/cleric</t>
  </si>
  <si>
    <t>assassin/cleric</t>
  </si>
  <si>
    <t>XP cap</t>
  </si>
  <si>
    <t>sorcerer 17</t>
  </si>
  <si>
    <t>bard 19</t>
  </si>
  <si>
    <t>CM 12/12</t>
  </si>
  <si>
    <t>monk 16</t>
  </si>
  <si>
    <t>FM 12/12</t>
  </si>
  <si>
    <t>FMC 10/11/10</t>
  </si>
  <si>
    <t>FMT 10/11/13</t>
  </si>
  <si>
    <t>bard 17</t>
  </si>
  <si>
    <t>mage 14</t>
  </si>
  <si>
    <t>mage 15</t>
  </si>
  <si>
    <t>monk 15</t>
  </si>
  <si>
    <t>CM 11/12</t>
  </si>
  <si>
    <t>FM 11/12</t>
  </si>
  <si>
    <t>lathander mage 11/12</t>
  </si>
  <si>
    <t>FD 12/12</t>
  </si>
  <si>
    <t>WS(7)-&gt;druid(14)</t>
  </si>
  <si>
    <t>FMT 10/11/12</t>
  </si>
  <si>
    <t>bard 16</t>
  </si>
  <si>
    <t>Skald 17</t>
  </si>
  <si>
    <t>Haer'dalis 17</t>
  </si>
  <si>
    <t>Edwin 14</t>
  </si>
  <si>
    <t>MT 12/13</t>
  </si>
  <si>
    <t>Wizard Slayer(9)-&gt;Druid(13)</t>
  </si>
  <si>
    <t>Edwin 13</t>
  </si>
  <si>
    <t>FMT 9/11/12</t>
  </si>
  <si>
    <t>Dwarven Defender 13</t>
  </si>
  <si>
    <t>Archer 13</t>
  </si>
  <si>
    <t>Archer 12</t>
  </si>
  <si>
    <t>chara</t>
  </si>
  <si>
    <t>frisk</t>
  </si>
  <si>
    <t>toriel</t>
  </si>
  <si>
    <t>asgore</t>
  </si>
  <si>
    <t>asriel</t>
  </si>
  <si>
    <t>undyne</t>
  </si>
  <si>
    <t>alphys</t>
  </si>
  <si>
    <t>sans</t>
  </si>
  <si>
    <t>papyrus</t>
  </si>
  <si>
    <t>TN</t>
  </si>
  <si>
    <t>Wizard Slayer(9)-&gt;Thief</t>
  </si>
  <si>
    <t>two-handed swords, darts</t>
  </si>
  <si>
    <t>flails, shortbows</t>
  </si>
  <si>
    <t>maces, slings</t>
  </si>
  <si>
    <t>scimitars, clubs, two-weapon fighting</t>
  </si>
  <si>
    <t>CN</t>
  </si>
  <si>
    <t>LG</t>
  </si>
  <si>
    <t>CG</t>
  </si>
  <si>
    <t>NG</t>
  </si>
  <si>
    <t>Archer(8)-&gt;Mage</t>
  </si>
  <si>
    <t>M'Khiin</t>
  </si>
  <si>
    <t>bless, chant</t>
  </si>
  <si>
    <t>m'khiin</t>
  </si>
  <si>
    <t>baeloth</t>
  </si>
  <si>
    <t>voghiln</t>
  </si>
  <si>
    <t>glint</t>
  </si>
  <si>
    <t>corwin</t>
  </si>
  <si>
    <t>Changing any one thing</t>
  </si>
  <si>
    <t>Change projectile</t>
  </si>
  <si>
    <t>flasher</t>
  </si>
  <si>
    <t>Quiver of Plenty</t>
  </si>
  <si>
    <t>projectile</t>
  </si>
  <si>
    <t>type</t>
  </si>
  <si>
    <t>Haste</t>
  </si>
  <si>
    <t>improved haste effect</t>
  </si>
  <si>
    <t>INAREAPA</t>
  </si>
  <si>
    <t>spell level</t>
  </si>
  <si>
    <t>target</t>
  </si>
  <si>
    <t>usability</t>
  </si>
  <si>
    <t>opcode</t>
  </si>
  <si>
    <t>Opcode change</t>
  </si>
  <si>
    <t>damage to STR modifier</t>
  </si>
  <si>
    <t>sets STR to 8</t>
  </si>
  <si>
    <t>charge type</t>
  </si>
  <si>
    <t>AC to APR modifier</t>
  </si>
  <si>
    <t>extra 2 APR</t>
  </si>
  <si>
    <t>Girdle of Piercing</t>
  </si>
  <si>
    <t>AC to invisibility</t>
  </si>
  <si>
    <t>replace piercing AC bonus with improved invisibility</t>
  </si>
  <si>
    <t>Ring of Fire Resistance</t>
  </si>
  <si>
    <t>fire resistance to damage type bonus</t>
  </si>
  <si>
    <t>extra 40% damage, all kinds</t>
  </si>
  <si>
    <t>91d3 damage</t>
  </si>
  <si>
    <t>immunity to damage instead of vorpal strikes</t>
  </si>
  <si>
    <t>Archer bonus</t>
  </si>
  <si>
    <t>91 to missile damage</t>
  </si>
  <si>
    <t>Called Shot, level 8 version</t>
  </si>
  <si>
    <t>AC bonus permanent</t>
  </si>
  <si>
    <t>Free Action</t>
  </si>
  <si>
    <t>pause effect instead of free action, permanent pause effect, dispellable</t>
  </si>
  <si>
    <t>Magical Stone</t>
  </si>
  <si>
    <t>crushing damage to APR</t>
  </si>
  <si>
    <t>crushing damage to max HP</t>
  </si>
  <si>
    <t>number of targets to 96</t>
  </si>
  <si>
    <t>immunity to damage instead of haste</t>
  </si>
  <si>
    <t>SPCL814</t>
  </si>
  <si>
    <t>Goodberry</t>
  </si>
  <si>
    <t>create item opcode to weapon immunity, immune to +5 weapons</t>
  </si>
  <si>
    <t>damage bonus is permanent</t>
  </si>
  <si>
    <t>save penalty on hit is permanent</t>
  </si>
  <si>
    <t>SOD</t>
  </si>
  <si>
    <t>IWD</t>
  </si>
  <si>
    <t>IWD2</t>
  </si>
  <si>
    <t>BG2</t>
  </si>
  <si>
    <t>TOB</t>
  </si>
  <si>
    <t>million</t>
  </si>
  <si>
    <t>thousand</t>
  </si>
  <si>
    <t>Spells</t>
  </si>
  <si>
    <t>BG</t>
  </si>
  <si>
    <t>Lance of Disruption</t>
  </si>
  <si>
    <t>Dimension Door</t>
  </si>
  <si>
    <t>Magic Stone</t>
  </si>
  <si>
    <t>Curse</t>
  </si>
  <si>
    <t>Cure Moderate Wounds</t>
  </si>
  <si>
    <t>Alicorn Lance</t>
  </si>
  <si>
    <t>Beast Claw</t>
  </si>
  <si>
    <t>Prayer</t>
  </si>
  <si>
    <t>Cause Disease</t>
  </si>
  <si>
    <t>Exaltation</t>
  </si>
  <si>
    <t>Moonblade</t>
  </si>
  <si>
    <t>Circle of Bones</t>
  </si>
  <si>
    <t>Spike Growth</t>
  </si>
  <si>
    <t>Storm Shell</t>
  </si>
  <si>
    <t>Favor of Ilmater</t>
  </si>
  <si>
    <t>Giant Insect</t>
  </si>
  <si>
    <t>Static Charge</t>
  </si>
  <si>
    <t>Recitation</t>
  </si>
  <si>
    <t>Cloud of Pestilence</t>
  </si>
  <si>
    <t>Blood Rage</t>
  </si>
  <si>
    <t>Unfailing Endurance</t>
  </si>
  <si>
    <t>Star Metal Cudgel</t>
  </si>
  <si>
    <t>Smashing Wave</t>
  </si>
  <si>
    <t>Ironskins</t>
  </si>
  <si>
    <t>Insect Plague</t>
  </si>
  <si>
    <t>Righteous Wrath of the Faithful</t>
  </si>
  <si>
    <t>Shield of Lathander</t>
  </si>
  <si>
    <t>Animal Rage</t>
  </si>
  <si>
    <t>Mass Cause Light Wounds</t>
  </si>
  <si>
    <t>Entropy Shield</t>
  </si>
  <si>
    <t>Spiritual Wrath</t>
  </si>
  <si>
    <t>Symbol of Hopelessness</t>
  </si>
  <si>
    <t>Expeditious Retreat</t>
  </si>
  <si>
    <t>Snowball Swarm</t>
  </si>
  <si>
    <t>Cat's Grace</t>
  </si>
  <si>
    <t>Ice Lance</t>
  </si>
  <si>
    <t>IWD Priest Spells</t>
  </si>
  <si>
    <t>IWD Mage Spells</t>
  </si>
  <si>
    <t>Emotion: Hopelessness</t>
  </si>
  <si>
    <t>Emotion: Courage</t>
  </si>
  <si>
    <t>Emotion: Hope</t>
  </si>
  <si>
    <t>Mordenkainen's Force Missiles</t>
  </si>
  <si>
    <t>Shout</t>
  </si>
  <si>
    <t>Vitriolic Sphere</t>
  </si>
  <si>
    <t>Tenser's Transformation</t>
  </si>
  <si>
    <t>APR +1</t>
  </si>
  <si>
    <t>30%+1/level</t>
  </si>
  <si>
    <t>15 rounds</t>
  </si>
  <si>
    <t>20 rounds</t>
  </si>
  <si>
    <t>no save bonus</t>
  </si>
  <si>
    <t>no attack roll needed</t>
  </si>
  <si>
    <t>extra damage</t>
  </si>
  <si>
    <t>11 HP</t>
  </si>
  <si>
    <t>80%, 1 turn/level</t>
  </si>
  <si>
    <t>1 turn/level</t>
  </si>
  <si>
    <t>casting time 1</t>
  </si>
  <si>
    <t>15 rounds, instant area</t>
  </si>
  <si>
    <t>Anti-Magic Shell</t>
  </si>
  <si>
    <t>Lich Touch</t>
  </si>
  <si>
    <t>Soul Eater</t>
  </si>
  <si>
    <t>Trollish Fortitude</t>
  </si>
  <si>
    <t>Malavon's Rage</t>
  </si>
  <si>
    <t>Suffocate</t>
  </si>
  <si>
    <t>Mind Blank</t>
  </si>
  <si>
    <t>Great Shout</t>
  </si>
  <si>
    <t>Boring Beetle</t>
  </si>
  <si>
    <t>Earth Elemental</t>
  </si>
  <si>
    <t>Water Elemental</t>
  </si>
  <si>
    <t>IWD Other</t>
  </si>
  <si>
    <t>IWD Items</t>
  </si>
  <si>
    <t>Clasp of Bron's Cloak</t>
  </si>
  <si>
    <t>Argent Shield</t>
  </si>
  <si>
    <t>Breath of Auril</t>
  </si>
  <si>
    <t>Girdle of Stromnos</t>
  </si>
  <si>
    <t>Bone Marrow Belt</t>
  </si>
  <si>
    <t>Love of Black Bess</t>
  </si>
  <si>
    <t>Boots of the Fox</t>
  </si>
  <si>
    <t>Messenger of Sseth</t>
  </si>
  <si>
    <t>Bracers of Icelandic Pearl</t>
  </si>
  <si>
    <t>Black Wolf Talisman</t>
  </si>
  <si>
    <t>Mystery of the Dead</t>
  </si>
  <si>
    <t>Stoutward</t>
  </si>
  <si>
    <t>Boots of Speed</t>
  </si>
  <si>
    <t>Kossuth's Blood</t>
  </si>
  <si>
    <t>Mithran's Cloak</t>
  </si>
  <si>
    <t>Spell Diver</t>
  </si>
  <si>
    <t>Sundered Shield of Tiernon</t>
  </si>
  <si>
    <t>Black Dragon Scale</t>
  </si>
  <si>
    <t>Gauntlets of Elven Might</t>
  </si>
  <si>
    <t>…</t>
  </si>
  <si>
    <t>IWD2 Mage Spells</t>
  </si>
  <si>
    <t>IWD2 Priest Spells</t>
  </si>
  <si>
    <t>Bless</t>
  </si>
  <si>
    <t>Sunscorch</t>
  </si>
  <si>
    <t>Aid</t>
  </si>
  <si>
    <t>Minor Elemental Barrier</t>
  </si>
  <si>
    <t>Ice Blade</t>
  </si>
  <si>
    <t>Freedom of Movement</t>
  </si>
  <si>
    <t>Remove Fatigue</t>
  </si>
  <si>
    <t>cleric and druid</t>
  </si>
  <si>
    <t>4 +1d4</t>
  </si>
  <si>
    <t>4 AC</t>
  </si>
  <si>
    <t>15 rounds, no save</t>
  </si>
  <si>
    <t>Circle of Blades</t>
  </si>
  <si>
    <t>Divine Shell</t>
  </si>
  <si>
    <t>Heal</t>
  </si>
  <si>
    <t>cast time 1</t>
  </si>
  <si>
    <t>Destruction</t>
  </si>
  <si>
    <t>Greater Shield of Lathander</t>
  </si>
  <si>
    <t>Charm Person or Animal</t>
  </si>
  <si>
    <t>Entangle</t>
  </si>
  <si>
    <t>Frost Fingers</t>
  </si>
  <si>
    <t>Snakebite</t>
  </si>
  <si>
    <t>Tortoise Shell</t>
  </si>
  <si>
    <t>Thorn Spray</t>
  </si>
  <si>
    <t>Aura of Vitality</t>
  </si>
  <si>
    <t>Creeping Doom</t>
  </si>
  <si>
    <t>Mass Heal</t>
  </si>
  <si>
    <t>Shambler</t>
  </si>
  <si>
    <t>Elemental Legion</t>
  </si>
  <si>
    <t>Tremor</t>
  </si>
  <si>
    <t>Ice Dagger</t>
  </si>
  <si>
    <t>Shield</t>
  </si>
  <si>
    <t>Gedlee's Electric Loop</t>
  </si>
  <si>
    <t>Luck</t>
  </si>
  <si>
    <t>Blink</t>
  </si>
  <si>
    <t>Ghost Armor</t>
  </si>
  <si>
    <t>Improved Invisibility</t>
  </si>
  <si>
    <t>Force Missiles</t>
  </si>
  <si>
    <t>Resilient Sphere</t>
  </si>
  <si>
    <t>Dominate Person</t>
  </si>
  <si>
    <t>2d6 damage</t>
  </si>
  <si>
    <t>single-target, +4 AC</t>
  </si>
  <si>
    <t>cast on other, +5 AC</t>
  </si>
  <si>
    <t>2 turns</t>
  </si>
  <si>
    <t>20% miss, 1 turn/level</t>
  </si>
  <si>
    <t>7 AC, 5 rounds/level</t>
  </si>
  <si>
    <t>Anti-Magic Field</t>
  </si>
  <si>
    <t>Disintegration</t>
  </si>
  <si>
    <t>5d6 on successful save</t>
  </si>
  <si>
    <t>1 save penalty</t>
  </si>
  <si>
    <t>Mass Haste</t>
  </si>
  <si>
    <t>Vipergout</t>
  </si>
  <si>
    <t>Iron Body</t>
  </si>
  <si>
    <t>Executioner's Eyes</t>
  </si>
  <si>
    <t>Mass Dominate</t>
  </si>
  <si>
    <t>no save penalty, level 3</t>
  </si>
  <si>
    <t>Despair</t>
  </si>
  <si>
    <t>Spell Focus</t>
  </si>
  <si>
    <t>Bane</t>
  </si>
  <si>
    <t>extra attack per round at level 6, 11, 16, and 21</t>
  </si>
  <si>
    <t>CHA-based saving throws</t>
  </si>
  <si>
    <t>Domain spells</t>
  </si>
  <si>
    <t>Spontaneous casting</t>
  </si>
  <si>
    <t>Lingering Song</t>
  </si>
  <si>
    <t>Rapid Shot</t>
  </si>
  <si>
    <t>Better ranged THAC0 with 3E DEX bonuses</t>
  </si>
  <si>
    <t>Improved Initiative</t>
  </si>
  <si>
    <t>Extra spell slots for sorcerers, druids, and clerics</t>
  </si>
  <si>
    <t>Wild shape</t>
  </si>
  <si>
    <t>Subvocal casting</t>
  </si>
  <si>
    <t>Luck of Heroes</t>
  </si>
  <si>
    <t>Deep Gnome tank</t>
  </si>
  <si>
    <t>3E sneak attack, extra 1d6 damage per 2 levels, no invisibility needed</t>
  </si>
  <si>
    <t>Fire Elemental</t>
  </si>
  <si>
    <t>Spell</t>
  </si>
  <si>
    <t>Fobie</t>
  </si>
  <si>
    <t>SF: Enchantment, Rapid Shot</t>
  </si>
  <si>
    <t>SF: Invocation</t>
  </si>
  <si>
    <t>SF: Transmutation, Scion of Storms</t>
  </si>
  <si>
    <t>Sicia</t>
  </si>
  <si>
    <t>dodge</t>
  </si>
  <si>
    <t>improved initiative</t>
  </si>
  <si>
    <t>immune to silence</t>
  </si>
  <si>
    <t>blind fight</t>
  </si>
  <si>
    <t>1 pip universal</t>
  </si>
  <si>
    <t>1 bonus critical hit</t>
  </si>
  <si>
    <t>1 bonus save vs. spell</t>
  </si>
  <si>
    <t>two pips in TWF</t>
  </si>
  <si>
    <t>extra 20% to elemental damage</t>
  </si>
  <si>
    <t>SF trans</t>
  </si>
  <si>
    <t>10 stunning blow</t>
  </si>
  <si>
    <t>9 verbeeg, fomorian, remorhaz, wyvern, white half-dragon</t>
  </si>
  <si>
    <t>7 red half-dragon</t>
  </si>
  <si>
    <t>5 blue</t>
  </si>
  <si>
    <t>3 black</t>
  </si>
  <si>
    <t>1 chromatic</t>
  </si>
  <si>
    <t>6 will o wisp</t>
  </si>
  <si>
    <t>6 treant</t>
  </si>
  <si>
    <t>ilmater's endurance</t>
  </si>
  <si>
    <t>SF ench 1 and SF evoc 2</t>
  </si>
  <si>
    <t>gedlee's electric loop</t>
  </si>
  <si>
    <t>mordenkainen's force missiles</t>
  </si>
  <si>
    <t>shades</t>
  </si>
  <si>
    <t>ice dagger</t>
  </si>
  <si>
    <t>frost fingers</t>
  </si>
  <si>
    <t>cat's grace</t>
  </si>
  <si>
    <t>eagle's splendor</t>
  </si>
  <si>
    <t>bull's strength</t>
  </si>
  <si>
    <t>moonblade</t>
  </si>
  <si>
    <t>stoneskin level 4</t>
  </si>
  <si>
    <t>freedom of movement level 4</t>
  </si>
  <si>
    <t>static charge</t>
  </si>
  <si>
    <t>ball lightning</t>
  </si>
  <si>
    <t>death ward level 5</t>
  </si>
  <si>
    <t>ice storm level 5</t>
  </si>
  <si>
    <t>acid fog</t>
  </si>
  <si>
    <t>acid storm</t>
  </si>
  <si>
    <t>chain lighting</t>
  </si>
  <si>
    <t>trollish fortitude</t>
  </si>
  <si>
    <t>heal level 7</t>
  </si>
  <si>
    <t>aura of vitality</t>
  </si>
  <si>
    <t>vipergout</t>
  </si>
  <si>
    <t>domain:</t>
  </si>
  <si>
    <t>hope</t>
  </si>
  <si>
    <t>remove paralysis 2</t>
  </si>
  <si>
    <t>prayer</t>
  </si>
  <si>
    <t>exaltation</t>
  </si>
  <si>
    <t>freedom of movement</t>
  </si>
  <si>
    <t>recitation</t>
  </si>
  <si>
    <t>spell resistance</t>
  </si>
  <si>
    <t>iron skins</t>
  </si>
  <si>
    <t>divine shell</t>
  </si>
  <si>
    <t>great shield of lathander</t>
  </si>
  <si>
    <t>know thy family</t>
  </si>
  <si>
    <t>golden heart of frisk</t>
  </si>
  <si>
    <t>tyrannar's band</t>
  </si>
  <si>
    <t>black hands of shelgoth</t>
  </si>
  <si>
    <t>rabbit's foot</t>
  </si>
  <si>
    <t>drakkas' chain</t>
  </si>
  <si>
    <t>boots of speed x3</t>
  </si>
  <si>
    <t>sunfire talisman</t>
  </si>
  <si>
    <t>chimandrae's slippers</t>
  </si>
  <si>
    <t>mooncalf's shield</t>
  </si>
  <si>
    <t>cowards flight</t>
  </si>
  <si>
    <t>sophia's arc</t>
  </si>
  <si>
    <t>dragu's hell bolter</t>
  </si>
  <si>
    <t>staff of fireballs</t>
  </si>
  <si>
    <t>monkey paw of extreme prejudice</t>
  </si>
  <si>
    <t>golden apple blossom</t>
  </si>
  <si>
    <t>dwarven ogre</t>
  </si>
  <si>
    <t>every god ring</t>
  </si>
  <si>
    <t>ring of free action</t>
  </si>
  <si>
    <t>big death</t>
  </si>
  <si>
    <t>doomfist</t>
  </si>
  <si>
    <t>diamond cutter</t>
  </si>
  <si>
    <t>bloody wroth</t>
  </si>
  <si>
    <t>high master's robe</t>
  </si>
  <si>
    <t>vghotan's band</t>
  </si>
  <si>
    <t>serpent skin</t>
  </si>
  <si>
    <t>brazen bands</t>
  </si>
  <si>
    <t>Characters start at the standard XP level for the game in question</t>
  </si>
  <si>
    <t>XP from Watcher's Keep transfers from SoA to ToB and vice versa</t>
  </si>
  <si>
    <t>Ability scores transfer, as do scribed spells and passive effects</t>
  </si>
  <si>
    <t>Classes transfer but dual- and multi-classing is acceptable</t>
  </si>
  <si>
    <t>Multi-game spells with similar or identical names, such as Stoneskin, behave as standard for the current game.</t>
  </si>
  <si>
    <t>Game-unique spells behave as they did in the original, as far as the engine can allow.</t>
  </si>
  <si>
    <t>Only a single item from each game can be transferred per character. Such items can enter BG2.</t>
  </si>
  <si>
    <t>Game-specific abilities, such as racial perks, feats, sorcerer spell picks, and kit abilities, only transfer if the character uses only abilities from its game of origin.</t>
  </si>
  <si>
    <t>Thus, an IWD2-generated sorcerer may not select IWD2-only spells, benefit from feats, or use crossbows unless the sorcerer only uses IWD2 spells.</t>
  </si>
  <si>
    <t>Likewise, a BG2-generated sorcerer may not use BG2-only spells in IWD2 unless it gains no IWD2 feats.</t>
  </si>
  <si>
    <t>Level-derived stats such as spell slots and saving throws follow the rules of the current game.</t>
  </si>
  <si>
    <t>prayer and recitation</t>
  </si>
  <si>
    <t>deep gnome</t>
  </si>
  <si>
    <t>snakebite</t>
  </si>
  <si>
    <t>6 damage per round for 4 rounds, save for none</t>
  </si>
  <si>
    <t>strikes as level 3, does not bypass MR</t>
  </si>
  <si>
    <t>4 attacks per round (description says 2)</t>
  </si>
  <si>
    <t>Level cap</t>
  </si>
  <si>
    <t>End XP</t>
  </si>
  <si>
    <t>expertise</t>
  </si>
  <si>
    <t>executioner's eyes</t>
  </si>
  <si>
    <t>improved critical</t>
  </si>
  <si>
    <t>lucky knucky</t>
  </si>
  <si>
    <t>tymora's loop</t>
  </si>
  <si>
    <t>tymora's melody</t>
  </si>
  <si>
    <t>rogue</t>
  </si>
  <si>
    <t>spell slots, not spell picks</t>
  </si>
  <si>
    <t>no damage reduction</t>
  </si>
  <si>
    <t>no spell resistance</t>
  </si>
  <si>
    <t>no innate abilities</t>
  </si>
  <si>
    <t>no bard songs</t>
  </si>
  <si>
    <t>you get one level up after transition</t>
  </si>
  <si>
    <t>will grant shapeshifts</t>
  </si>
  <si>
    <t>no feats or skills</t>
  </si>
  <si>
    <t>monk AC, capped at +10 generic</t>
  </si>
  <si>
    <t>barbarian damage reduction, capped at 10</t>
  </si>
  <si>
    <t>bard songs</t>
  </si>
  <si>
    <t>will not grant spell slots</t>
  </si>
  <si>
    <t>this can either remove one of your existing classes, or add about 236 levels to a new class</t>
  </si>
  <si>
    <t>automatic feats</t>
  </si>
  <si>
    <t>monk SR, capped at 50</t>
  </si>
  <si>
    <t>monk stunning attacks, DC over 100</t>
  </si>
  <si>
    <t>monk damage reduction</t>
  </si>
  <si>
    <t>rogue backstab, 118d6 or about 413 damage</t>
  </si>
  <si>
    <t>wizard 8</t>
  </si>
  <si>
    <t>cleric 15</t>
  </si>
  <si>
    <t>cleric 18</t>
  </si>
  <si>
    <t>sorcerer 18</t>
  </si>
  <si>
    <t>first class</t>
  </si>
  <si>
    <t>second class</t>
  </si>
  <si>
    <t>wizard</t>
  </si>
  <si>
    <t>HoF</t>
  </si>
  <si>
    <t>levels</t>
  </si>
  <si>
    <t>Invisibility Sphere</t>
  </si>
  <si>
    <t>Animate Dead</t>
  </si>
  <si>
    <t>Mage Armor</t>
  </si>
  <si>
    <t>Spell Focus: Enchantment</t>
  </si>
  <si>
    <t>Spell Focus: Transmutation</t>
  </si>
  <si>
    <t>Subvocal Casting</t>
  </si>
  <si>
    <t>Invisibility</t>
  </si>
  <si>
    <t>Melf's Acid Arrow</t>
  </si>
  <si>
    <t>cleric of bane</t>
  </si>
  <si>
    <t>tiefling wizard</t>
  </si>
  <si>
    <t>elf bard</t>
  </si>
  <si>
    <t>deep gnome cleric of bane</t>
  </si>
  <si>
    <t>wild elf bard</t>
  </si>
  <si>
    <t>human druid</t>
  </si>
  <si>
    <t>LN</t>
  </si>
  <si>
    <t>aasimar paladin/sorcerer</t>
  </si>
  <si>
    <t>deep gnome cleric of bane(18)/illusionist(8)/fighter(4)</t>
  </si>
  <si>
    <t>drow paladin(1)/sorcerer(21)/cleric of ilmater(8)</t>
  </si>
  <si>
    <t>deep gnome druid(25)/thief(1)/fighter(4)</t>
  </si>
  <si>
    <t>deflection</t>
  </si>
  <si>
    <t>NE</t>
  </si>
  <si>
    <t>deep gnome cleric of bane(18)conjurer(8)/fighter(4)</t>
  </si>
  <si>
    <t>drow bard(11)/sorcerer(19)</t>
  </si>
  <si>
    <t>drow sorcerer(25)/cleric of bane(1)/fighter(4)</t>
  </si>
  <si>
    <t>holy aura</t>
  </si>
  <si>
    <t>Cleric/Druid</t>
  </si>
  <si>
    <t>level 22</t>
  </si>
  <si>
    <t>level 16</t>
  </si>
  <si>
    <t>ABILITY1</t>
  </si>
  <si>
    <t>****</t>
  </si>
  <si>
    <t>GA_W#DRU01</t>
  </si>
  <si>
    <t>FA_24895</t>
  </si>
  <si>
    <t>GA_W#DRU07</t>
  </si>
  <si>
    <t>ABILITY2</t>
  </si>
  <si>
    <t>GA_W#DRU02</t>
  </si>
  <si>
    <t>GA_W#DRU08</t>
  </si>
  <si>
    <t>ABILITY3</t>
  </si>
  <si>
    <t>GA_W#DRU03</t>
  </si>
  <si>
    <t>GA_W#DRU09</t>
  </si>
  <si>
    <t>ABILITY4</t>
  </si>
  <si>
    <t>FA_24896</t>
  </si>
  <si>
    <t>GA_W#DRU04</t>
  </si>
  <si>
    <t>ABILITY5</t>
  </si>
  <si>
    <t>GA_W#DRU05</t>
  </si>
  <si>
    <t>ABILITY6</t>
  </si>
  <si>
    <t>AP_EFFREST</t>
  </si>
  <si>
    <t>GA_W#DRU06</t>
  </si>
  <si>
    <t>verbeeg</t>
  </si>
  <si>
    <t>fomorian</t>
  </si>
  <si>
    <t>remorhaz</t>
  </si>
  <si>
    <t>half-dragon</t>
  </si>
  <si>
    <t>white</t>
  </si>
  <si>
    <t>red</t>
  </si>
  <si>
    <t>blue</t>
  </si>
  <si>
    <t>black</t>
  </si>
  <si>
    <t>verbeeg: 5-13</t>
  </si>
  <si>
    <t>fomorian: 7-15</t>
  </si>
  <si>
    <t>remorhaz: 9-17</t>
  </si>
  <si>
    <t>wyvern</t>
  </si>
  <si>
    <t>wyvern: 11-19</t>
  </si>
  <si>
    <t>white: 13-21</t>
  </si>
  <si>
    <t>red: 15-23</t>
  </si>
  <si>
    <t>blue: 17-25</t>
  </si>
  <si>
    <t>black: 19-27</t>
  </si>
  <si>
    <t>elemental: 21-29</t>
  </si>
  <si>
    <t>SF: trans 2</t>
  </si>
  <si>
    <t>SF: evoc 2</t>
  </si>
  <si>
    <t>Aegis of Rime</t>
  </si>
  <si>
    <t>Ambidexterity</t>
  </si>
  <si>
    <t>Aqua Mortis</t>
  </si>
  <si>
    <t>Armor Proficiency</t>
  </si>
  <si>
    <t>Armored Arcana</t>
  </si>
  <si>
    <t>Arterial Strike</t>
  </si>
  <si>
    <t>Blind Fight</t>
  </si>
  <si>
    <t>Bullheaded</t>
  </si>
  <si>
    <t>Cleave</t>
  </si>
  <si>
    <t>Combat Casting</t>
  </si>
  <si>
    <t>Courteous Magocracy</t>
  </si>
  <si>
    <t>Crippling Strike</t>
  </si>
  <si>
    <t>Dash</t>
  </si>
  <si>
    <t>Deflect Arrows</t>
  </si>
  <si>
    <t>Dirty Fighting</t>
  </si>
  <si>
    <t>Discipline</t>
  </si>
  <si>
    <t>Dodge</t>
  </si>
  <si>
    <t>Envenom Weapon</t>
  </si>
  <si>
    <t>Bastard Sword</t>
  </si>
  <si>
    <t>Expertise</t>
  </si>
  <si>
    <t>Extra Rage</t>
  </si>
  <si>
    <t>Extra Wild Shape</t>
  </si>
  <si>
    <t>Extra Turning</t>
  </si>
  <si>
    <t>Fiendslayer</t>
  </si>
  <si>
    <t>Forester</t>
  </si>
  <si>
    <t>Great Fortitude</t>
  </si>
  <si>
    <t>Hamstring</t>
  </si>
  <si>
    <t>Heretic's Bane</t>
  </si>
  <si>
    <t>Heroic Inspiration</t>
  </si>
  <si>
    <t>Improved Critical</t>
  </si>
  <si>
    <t>Improved Evasion</t>
  </si>
  <si>
    <t>Improved Turning</t>
  </si>
  <si>
    <t>Iron Will</t>
  </si>
  <si>
    <t>Lightning Reflexes</t>
  </si>
  <si>
    <t>Axe</t>
  </si>
  <si>
    <t>Bow</t>
  </si>
  <si>
    <t>Flail</t>
  </si>
  <si>
    <t>Greatsword</t>
  </si>
  <si>
    <t>Hammer</t>
  </si>
  <si>
    <t>Large Sword</t>
  </si>
  <si>
    <t>Polearm</t>
  </si>
  <si>
    <t>Maximized Attacks</t>
  </si>
  <si>
    <t>Mercantile Background</t>
  </si>
  <si>
    <t>Power Attack</t>
  </si>
  <si>
    <t>Precise Shot</t>
  </si>
  <si>
    <t>Resist Poison</t>
  </si>
  <si>
    <t>Scion of Storms</t>
  </si>
  <si>
    <t>Shield Proficiency</t>
  </si>
  <si>
    <t>Crossbow</t>
  </si>
  <si>
    <t>Mace</t>
  </si>
  <si>
    <t>Missile Weapons</t>
  </si>
  <si>
    <t>Quarterstaff</t>
  </si>
  <si>
    <t>Small Blade</t>
  </si>
  <si>
    <t>Slippery Mind</t>
  </si>
  <si>
    <t>Snake Blood</t>
  </si>
  <si>
    <t>Spell Focus: Evocation</t>
  </si>
  <si>
    <t>Spell Focus: Necromancy</t>
  </si>
  <si>
    <t>Spell Penetration</t>
  </si>
  <si>
    <t>Spirit of Flame</t>
  </si>
  <si>
    <t>Strong Back</t>
  </si>
  <si>
    <t>Stunning Fist</t>
  </si>
  <si>
    <t>Toughness</t>
  </si>
  <si>
    <t>Two Weapon Fighting</t>
  </si>
  <si>
    <t>Weapon Finesse</t>
  </si>
  <si>
    <t>Wildshape: Boar/Will o' Wisp</t>
  </si>
  <si>
    <t>Wildshape: Panther/Yeti</t>
  </si>
  <si>
    <t>Wildshape: Shambling Mound/Treant</t>
  </si>
  <si>
    <t>will o' wisp</t>
  </si>
  <si>
    <t>treant</t>
  </si>
  <si>
    <t>scion of storms</t>
  </si>
  <si>
    <t>iron will</t>
  </si>
  <si>
    <t>SF: necro</t>
  </si>
  <si>
    <t>dual wielding</t>
  </si>
  <si>
    <t>armored arcana</t>
  </si>
  <si>
    <t>incendiary cloud level 8</t>
  </si>
  <si>
    <t>cone of cold, pro acid</t>
  </si>
  <si>
    <t>sunfire, chain lightning</t>
  </si>
  <si>
    <t>elemental barrier 7</t>
  </si>
  <si>
    <t>pro fire, pro evil</t>
  </si>
  <si>
    <t>death spell level 6</t>
  </si>
  <si>
    <t>no remove paralysis</t>
  </si>
  <si>
    <t>ring 2</t>
  </si>
  <si>
    <t>ring 1</t>
  </si>
  <si>
    <t>clck 2</t>
  </si>
  <si>
    <t>amul 1</t>
  </si>
  <si>
    <t>bastard sword</t>
  </si>
  <si>
    <t>bypasses MR, level 4</t>
  </si>
  <si>
    <t>bypasses MR, level 4, decreases in power each hit, single-target only</t>
  </si>
  <si>
    <t>doesn't bypass MR, but bypasses spell protections and offers no save, +4</t>
  </si>
  <si>
    <t>cause disease</t>
  </si>
  <si>
    <t>neutral and evil clerics only, necromancy, save vs. spell or -5 to -20 STR for 8 hours</t>
  </si>
  <si>
    <t>bypasses MR, level 2</t>
  </si>
  <si>
    <t>curse</t>
  </si>
  <si>
    <t>negative bless, no save penalties</t>
  </si>
  <si>
    <t>unfailing endurance</t>
  </si>
  <si>
    <t>righteous wrath of the faithful</t>
  </si>
  <si>
    <t>as IWD spell, appears to have no fatigue penalty</t>
  </si>
  <si>
    <t>shield of lathander</t>
  </si>
  <si>
    <t>immunity opcode 12, dispellable, Breachable, 12 seconds, casting speed 8</t>
  </si>
  <si>
    <t>impregnable mind</t>
  </si>
  <si>
    <t>immunity to mind-affecting spells and psionics; no immunity to opcodes</t>
  </si>
  <si>
    <t>as IWD spell</t>
  </si>
  <si>
    <t>symbol of hopelessness</t>
  </si>
  <si>
    <t>as IWD spell, stun opcode</t>
  </si>
  <si>
    <t>impervious sanctity of mind</t>
  </si>
  <si>
    <t>greater shield of lathander</t>
  </si>
  <si>
    <t>immunity opcode 12 and 100% MR, dispellable, Breachable, 18 seconds, casting speed 10</t>
  </si>
  <si>
    <t>summons 2 shambling mounds with full damage resistance, but their attacks are nonmagical</t>
  </si>
  <si>
    <t>snilloc's snowball swarm</t>
  </si>
  <si>
    <t>strikes as level 0</t>
  </si>
  <si>
    <t>icelance</t>
  </si>
  <si>
    <t>IWD version strikes as level 0</t>
  </si>
  <si>
    <t>lance of disruption</t>
  </si>
  <si>
    <t>bypasses MR, level 0</t>
  </si>
  <si>
    <t>emotion: courage</t>
  </si>
  <si>
    <t>emotion: hope</t>
  </si>
  <si>
    <t>lich touch</t>
  </si>
  <si>
    <t>strikes as +1 weapon, paralysis 109 is permanent, no save</t>
  </si>
  <si>
    <t>antimagic shell</t>
  </si>
  <si>
    <t>casting time 1, immunity spell levels 1-9, classified as spell protection (any anti-magic attack removes it)</t>
  </si>
  <si>
    <t>otiluke's freezing sphere</t>
  </si>
  <si>
    <t>1d4+2 damage per level, bypasses MR, level 6, save vs. spell</t>
  </si>
  <si>
    <t>darts of bone</t>
  </si>
  <si>
    <t>9 darts, no proficiency, 3 APR, +3 THAC0, drain STR by -3 on a failed save vs. death, does not bypass MR, level 0, lasts 5 rounds</t>
  </si>
  <si>
    <t>malavon's rage</t>
  </si>
  <si>
    <t>level 0, does not bypass MR</t>
  </si>
  <si>
    <t>self only, immunity to intoxication, immunity to some disablers but not web or stun or PW: Stun, immunity to all psionics, including psionic damage spells</t>
  </si>
  <si>
    <t>mind blank (non-SR)</t>
  </si>
  <si>
    <t>ooze master</t>
  </si>
  <si>
    <t>rwf</t>
  </si>
  <si>
    <t>alchemist</t>
  </si>
  <si>
    <t>Level 1, 3, 5, 7: +1 to hit and damage</t>
  </si>
  <si>
    <t>Level 9, 11, 13, 15: +2 to hit and damage</t>
  </si>
  <si>
    <t>Level 17, 19, 21, 23: +3 to hit and damage</t>
  </si>
  <si>
    <t>Level 25, 27, 29, 31: +4 to hit and damage</t>
  </si>
  <si>
    <t>Level 33, 35, 37, 39: +5 to hit and damage</t>
  </si>
  <si>
    <t>bonemeal</t>
  </si>
  <si>
    <t>blood nectar</t>
  </si>
  <si>
    <t>courage</t>
  </si>
  <si>
    <t>plasma</t>
  </si>
  <si>
    <t>save vs. death</t>
  </si>
  <si>
    <t>alchemist only</t>
  </si>
  <si>
    <t>mage-&gt;lathander</t>
  </si>
  <si>
    <t>fighter 7</t>
  </si>
  <si>
    <t>fighter 13</t>
  </si>
  <si>
    <t>2 pips</t>
  </si>
  <si>
    <t>5 pips</t>
  </si>
  <si>
    <t>AL cleric</t>
  </si>
  <si>
    <t>AL fighter</t>
  </si>
  <si>
    <t>AL thief</t>
  </si>
  <si>
    <t>kensai/berserker</t>
  </si>
  <si>
    <t>alchemist fighter can hit 5 APR with any weapon</t>
  </si>
  <si>
    <t>AL thief can hit 3 APR with any weapon</t>
  </si>
  <si>
    <t>AL cleric can hit 4 APR with any weapon</t>
  </si>
  <si>
    <t>mage-&gt;cleric of lathander can hit 3 APR with BoL and holy power</t>
  </si>
  <si>
    <t>Jan needs army scythe and tenser's to hit 4</t>
  </si>
  <si>
    <t>Alchemist can hit 4 APR with plasma and tenser's in mind flayer form</t>
  </si>
  <si>
    <t>black mania</t>
  </si>
  <si>
    <t>spellbender</t>
  </si>
  <si>
    <t>RWF</t>
  </si>
  <si>
    <t>true strike</t>
  </si>
  <si>
    <t>check to see if bertoxxulous is still for sale</t>
  </si>
  <si>
    <t>from shikoku in the promenade</t>
  </si>
  <si>
    <t>red soul</t>
  </si>
  <si>
    <t>keto</t>
  </si>
  <si>
    <t>tashia</t>
  </si>
  <si>
    <t>roll</t>
  </si>
  <si>
    <t>bonus</t>
  </si>
  <si>
    <t>morwen</t>
  </si>
  <si>
    <t>ninafer</t>
  </si>
  <si>
    <t>yasraena</t>
  </si>
  <si>
    <t>indira</t>
  </si>
  <si>
    <t>mur'neth</t>
  </si>
  <si>
    <t>finch</t>
  </si>
  <si>
    <t>first run</t>
  </si>
  <si>
    <t>Alchemist</t>
  </si>
  <si>
    <t>Carl</t>
  </si>
  <si>
    <t>Snow Tae</t>
  </si>
  <si>
    <t>Alchemist-&gt;Mage</t>
  </si>
  <si>
    <t>nightrunner of mask</t>
  </si>
  <si>
    <t>not good or lawful</t>
  </si>
  <si>
    <t>summon shadow</t>
  </si>
  <si>
    <t>BoL every 4 levels</t>
  </si>
  <si>
    <t>beshaba</t>
  </si>
  <si>
    <t>CN or evil</t>
  </si>
  <si>
    <t>lots of summoning spells</t>
  </si>
  <si>
    <t>misfire</t>
  </si>
  <si>
    <t>misfortune</t>
  </si>
  <si>
    <t>good or LN</t>
  </si>
  <si>
    <t>loviatar</t>
  </si>
  <si>
    <t>not good</t>
  </si>
  <si>
    <t>10 to hit and 20 to damage for 4 rounds, multiple times per day</t>
  </si>
  <si>
    <t>shar</t>
  </si>
  <si>
    <t>simulacrum, breach, pierce shield</t>
  </si>
  <si>
    <t>evil, TN</t>
  </si>
  <si>
    <t>deneir</t>
  </si>
  <si>
    <t>summoning spells</t>
  </si>
  <si>
    <t>good or neutral</t>
  </si>
  <si>
    <t>mystra</t>
  </si>
  <si>
    <t>good and neutral</t>
  </si>
  <si>
    <t>must be an acolyte</t>
  </si>
  <si>
    <t>summons, RWF</t>
  </si>
  <si>
    <t>BBoD+RWF</t>
  </si>
  <si>
    <t>BBoD+RWF+BoL</t>
  </si>
  <si>
    <t>potions</t>
  </si>
  <si>
    <t>Bladesinger</t>
  </si>
  <si>
    <t>Cleric of Deneir(14)-&gt;Mage</t>
  </si>
  <si>
    <t>Cleric of Lathander(14)-&gt;Mage</t>
  </si>
  <si>
    <t>8 hours</t>
  </si>
  <si>
    <t>aldeth</t>
  </si>
  <si>
    <t>korax</t>
  </si>
  <si>
    <t>droth</t>
  </si>
  <si>
    <t>giant spider</t>
  </si>
  <si>
    <t>huge spider</t>
  </si>
  <si>
    <t>sword spider</t>
  </si>
  <si>
    <t>100 MR</t>
  </si>
  <si>
    <t>Bdwight</t>
  </si>
  <si>
    <t>3 attacks</t>
  </si>
  <si>
    <t>4 attacks</t>
  </si>
  <si>
    <t>kirinhale</t>
  </si>
  <si>
    <t>mage, 2 APR, 50 MR</t>
  </si>
  <si>
    <t>poison, magic, 2 APR</t>
  </si>
  <si>
    <t>Bdarmored skeleton</t>
  </si>
  <si>
    <t>Bdburning skeleton</t>
  </si>
  <si>
    <t>Bdskeleton mage</t>
  </si>
  <si>
    <t>Bdimbued wight</t>
  </si>
  <si>
    <t>BD302 basilisk</t>
  </si>
  <si>
    <t>zero APR?</t>
  </si>
  <si>
    <t>Bdziatar</t>
  </si>
  <si>
    <t>Bddarskhelin</t>
  </si>
  <si>
    <t>MINDFLAY, 90 MR, 4 APR</t>
  </si>
  <si>
    <t>halatathlaer</t>
  </si>
  <si>
    <t>morentherene</t>
  </si>
  <si>
    <t>the SoD kensai in the 1st dungeon is level 3</t>
  </si>
  <si>
    <t>the mephits are also level 3</t>
  </si>
  <si>
    <t>charm a local wight to turn against the others</t>
  </si>
  <si>
    <t>drain 10 levels and it should be possible to charm the kensai and mephits</t>
  </si>
  <si>
    <t>SoD</t>
  </si>
  <si>
    <t>yuan-ti mage</t>
  </si>
  <si>
    <t>wraith spider</t>
  </si>
  <si>
    <t>nabassu</t>
  </si>
  <si>
    <t>glabrezu</t>
  </si>
  <si>
    <t>temple district</t>
  </si>
  <si>
    <t>gates</t>
  </si>
  <si>
    <t>trademeet, druid grove</t>
  </si>
  <si>
    <t>umar hills, temple ruins</t>
  </si>
  <si>
    <t>windspear hills</t>
  </si>
  <si>
    <t>wraith</t>
  </si>
  <si>
    <t>wight</t>
  </si>
  <si>
    <t>govt district</t>
  </si>
  <si>
    <t>promenade</t>
  </si>
  <si>
    <t>docks</t>
  </si>
  <si>
    <t>bridge</t>
  </si>
  <si>
    <t>LoB</t>
  </si>
  <si>
    <t>black bear</t>
  </si>
  <si>
    <t>brown bear</t>
  </si>
  <si>
    <t>carrion crawler</t>
  </si>
  <si>
    <t>crypt crawler</t>
  </si>
  <si>
    <t>ghast</t>
  </si>
  <si>
    <t>marl</t>
  </si>
  <si>
    <t>ogrillon</t>
  </si>
  <si>
    <t>2 attacks per round</t>
  </si>
  <si>
    <t>ogre mage</t>
  </si>
  <si>
    <t>fledgling vampire</t>
  </si>
  <si>
    <t>9 or 13</t>
  </si>
  <si>
    <t>8 or 9</t>
  </si>
  <si>
    <t>3 attacks per round</t>
  </si>
  <si>
    <t>sewer rakshasa</t>
  </si>
  <si>
    <t>dragons</t>
  </si>
  <si>
    <t>17 or 10</t>
  </si>
  <si>
    <t>king ixilthetocal</t>
  </si>
  <si>
    <t>5 APR, 24 STR</t>
  </si>
  <si>
    <t>kuo-toa wizard</t>
  </si>
  <si>
    <t>drow (mage)</t>
  </si>
  <si>
    <t>70 MR</t>
  </si>
  <si>
    <t>matron's guard</t>
  </si>
  <si>
    <t>11?</t>
  </si>
  <si>
    <t>plus minor sequencer</t>
  </si>
  <si>
    <t>plus spell sequencer</t>
  </si>
  <si>
    <t>plus spell trigger</t>
  </si>
  <si>
    <t>plus contingencies</t>
  </si>
  <si>
    <t>lucy</t>
  </si>
  <si>
    <t>hive mother</t>
  </si>
  <si>
    <t>unseeing eye</t>
  </si>
  <si>
    <t>mage, improved alacrity, SCS item</t>
  </si>
  <si>
    <t>escaped clone</t>
  </si>
  <si>
    <t>fairy dragon</t>
  </si>
  <si>
    <t>cat familiar</t>
  </si>
  <si>
    <t>summoning monster via wand can also work</t>
  </si>
  <si>
    <t>get an ogre drained 9 levels and it can be charmed</t>
  </si>
  <si>
    <t>it will be badly injured and maybe at Near Death before it hits level 5</t>
  </si>
  <si>
    <t>possible mages</t>
  </si>
  <si>
    <t>arkushule</t>
  </si>
  <si>
    <t>indoor bats</t>
  </si>
  <si>
    <t>erasmus?</t>
  </si>
  <si>
    <t>brilla</t>
  </si>
  <si>
    <t>entar silvershield's estate</t>
  </si>
  <si>
    <t>fuernebol</t>
  </si>
  <si>
    <t>digger</t>
  </si>
  <si>
    <t>only the half-elven one is level 1</t>
  </si>
  <si>
    <t>jemby</t>
  </si>
  <si>
    <t>lighthouse area, should be pressured into finishing the fortune to turn her hostile</t>
  </si>
  <si>
    <t>NW of Nashkel, by the lake</t>
  </si>
  <si>
    <t>joia</t>
  </si>
  <si>
    <t>thayan wizard</t>
  </si>
  <si>
    <t>obe</t>
  </si>
  <si>
    <t>gives the quest to join a party temporarily in candlekeep</t>
  </si>
  <si>
    <t>pallonia</t>
  </si>
  <si>
    <t>by lighthouse, leaves after speaking</t>
  </si>
  <si>
    <t>prism</t>
  </si>
  <si>
    <t>rufie</t>
  </si>
  <si>
    <t>one of the three fishermen in the tenya quest</t>
  </si>
  <si>
    <t>sonner? Diff version</t>
  </si>
  <si>
    <t>the surgeon</t>
  </si>
  <si>
    <t>3 3</t>
  </si>
  <si>
    <t>only in baldur's gate</t>
  </si>
  <si>
    <t>clair de'lain</t>
  </si>
  <si>
    <t>5 5</t>
  </si>
  <si>
    <t>bottom of durlag's tower</t>
  </si>
  <si>
    <t>kirian</t>
  </si>
  <si>
    <t>mutamin's garden</t>
  </si>
  <si>
    <t>schlumpsa</t>
  </si>
  <si>
    <t>4 attacks, RING95, IMMUNE1</t>
  </si>
  <si>
    <t>bat</t>
  </si>
  <si>
    <t>90% resistance to physical damage</t>
  </si>
  <si>
    <t>cat</t>
  </si>
  <si>
    <t>fighter 5 mage 5</t>
  </si>
  <si>
    <t>mage, 90% resistance to physical damage</t>
  </si>
  <si>
    <t>normal</t>
  </si>
  <si>
    <t>carl</t>
  </si>
  <si>
    <t>mollyboo</t>
  </si>
  <si>
    <t>ponnagyun</t>
  </si>
  <si>
    <t>population</t>
  </si>
  <si>
    <t>no buffs</t>
  </si>
  <si>
    <t>blind bounty hunter can be used to buy time</t>
  </si>
  <si>
    <t>1d4 rounds of maze should be enough to cast both Raise Dead and Heal</t>
  </si>
  <si>
    <t>6 Raise Dead</t>
  </si>
  <si>
    <t>Resurrection</t>
  </si>
  <si>
    <t>Raise Dead</t>
  </si>
  <si>
    <t>Acolyte</t>
  </si>
  <si>
    <t>Mass Raise Dead</t>
  </si>
  <si>
    <t>Casting time 2</t>
  </si>
  <si>
    <t>Heals 3d10+20 HP after 1 second</t>
  </si>
  <si>
    <t>Casting time 9</t>
  </si>
  <si>
    <t>1 HP</t>
  </si>
  <si>
    <t>100% HP</t>
  </si>
  <si>
    <t>Heals 100% HP after 2 seconds</t>
  </si>
  <si>
    <t>Wizard Slayer(9)-&gt;Druid</t>
  </si>
  <si>
    <t>kuldahar pass</t>
  </si>
  <si>
    <t>vale of shadows</t>
  </si>
  <si>
    <t>kresselack</t>
  </si>
  <si>
    <t>forgotten god</t>
  </si>
  <si>
    <t>dragon's eye</t>
  </si>
  <si>
    <t>eldathyn lair</t>
  </si>
  <si>
    <t>yxunomei</t>
  </si>
  <si>
    <t>severed hand</t>
  </si>
  <si>
    <t>dorn's deep</t>
  </si>
  <si>
    <t>ice troll area</t>
  </si>
  <si>
    <t>lower dorn's deep</t>
  </si>
  <si>
    <t>belhifet</t>
  </si>
  <si>
    <t>party of 6</t>
  </si>
  <si>
    <t>solo</t>
  </si>
  <si>
    <t>3,3,3</t>
  </si>
  <si>
    <t>4,3</t>
  </si>
  <si>
    <t>4,4,4</t>
  </si>
  <si>
    <t>5,5,5</t>
  </si>
  <si>
    <t>6,6,6</t>
  </si>
  <si>
    <t>7,7,7</t>
  </si>
  <si>
    <t>7,8,8</t>
  </si>
  <si>
    <t>8,9,8</t>
  </si>
  <si>
    <t>9,10,9</t>
  </si>
  <si>
    <t>10,11,10</t>
  </si>
  <si>
    <t>12,11,12</t>
  </si>
  <si>
    <t>14,14,14</t>
  </si>
  <si>
    <t>5,4</t>
  </si>
  <si>
    <t>6,5</t>
  </si>
  <si>
    <t>7,7</t>
  </si>
  <si>
    <t>8,8</t>
  </si>
  <si>
    <t>8,9</t>
  </si>
  <si>
    <t>9,10</t>
  </si>
  <si>
    <t>10,11</t>
  </si>
  <si>
    <t>12,12</t>
  </si>
  <si>
    <t>14,14</t>
  </si>
  <si>
    <t>18,16</t>
  </si>
  <si>
    <t>3,3,4</t>
  </si>
  <si>
    <t>4,4,5</t>
  </si>
  <si>
    <t>5,5,6</t>
  </si>
  <si>
    <t>6,6,7</t>
  </si>
  <si>
    <t>7,7,8</t>
  </si>
  <si>
    <t>7,8,9</t>
  </si>
  <si>
    <t>8,9,10</t>
  </si>
  <si>
    <t>9,10,11</t>
  </si>
  <si>
    <t>10,11,12</t>
  </si>
  <si>
    <t>12,11,14</t>
  </si>
  <si>
    <t>14,14,16</t>
  </si>
  <si>
    <t>problems:</t>
  </si>
  <si>
    <t>eldathyn lair, mages</t>
  </si>
  <si>
    <t>Sorcerer?</t>
  </si>
  <si>
    <t>Yxunomei</t>
  </si>
  <si>
    <t>Drow spellswords</t>
  </si>
  <si>
    <t>Malavon</t>
  </si>
  <si>
    <t>Purple Kraken mages</t>
  </si>
  <si>
    <t>Belhifet</t>
  </si>
  <si>
    <t>Berserker(9)-&gt;Cleric</t>
  </si>
  <si>
    <t>3,4</t>
  </si>
  <si>
    <t>4,5</t>
  </si>
  <si>
    <t>5,7</t>
  </si>
  <si>
    <t>6,8</t>
  </si>
  <si>
    <t>7,9</t>
  </si>
  <si>
    <t>7,10</t>
  </si>
  <si>
    <t>8,11</t>
  </si>
  <si>
    <t>9,12</t>
  </si>
  <si>
    <t>10,13</t>
  </si>
  <si>
    <t>12,14</t>
  </si>
  <si>
    <t>17 or 12 or 10</t>
  </si>
  <si>
    <t>6 mirror image, 5 heal, 3 elemental half-dragon</t>
  </si>
  <si>
    <t>deep gnome druid 23 wizard 7</t>
  </si>
  <si>
    <t>deep gnome druid 23 wizard 6 monk 1</t>
  </si>
  <si>
    <t>drow</t>
  </si>
  <si>
    <t>half-dragon monk</t>
  </si>
  <si>
    <t>drow cleric 15 sorcerer 8</t>
  </si>
  <si>
    <t>6 mirror image, 3 heal</t>
  </si>
  <si>
    <t>drow sorcerer 20 bard 5 barbarian 1 cleric 3 ranger 1</t>
  </si>
  <si>
    <t>20d8</t>
  </si>
  <si>
    <t>24d6</t>
  </si>
  <si>
    <t>axe of malice</t>
  </si>
  <si>
    <t>halberd cold fury</t>
  </si>
  <si>
    <t>talos arrows</t>
  </si>
  <si>
    <t>heart of darkness</t>
  </si>
  <si>
    <t>jaheira's harper pin</t>
  </si>
  <si>
    <t>tsuki no ken</t>
  </si>
  <si>
    <t>10% chance death</t>
  </si>
  <si>
    <t>25% chance stun for 15 seconds, no save</t>
  </si>
  <si>
    <t>5% chance death</t>
  </si>
  <si>
    <t>22 STR, +5, 1d4+1 fire damage</t>
  </si>
  <si>
    <t>black knight's sword</t>
  </si>
  <si>
    <t>10% chance confusion 5 rounds, 10% chance hopelessness 5 rounds</t>
  </si>
  <si>
    <t>35% chance stun for 3 seconds</t>
  </si>
  <si>
    <t>Shield, +5 saves</t>
  </si>
  <si>
    <t>fire damage, +1 APR, +1 saves, +2 AC, +2 THAC0, +1 damage</t>
  </si>
  <si>
    <t>c</t>
  </si>
  <si>
    <t>hours</t>
  </si>
  <si>
    <t>druid 23</t>
  </si>
  <si>
    <t>fighter 1</t>
  </si>
  <si>
    <t>wizard 1</t>
  </si>
  <si>
    <t>monk 236</t>
  </si>
  <si>
    <t>sorceror 20</t>
  </si>
  <si>
    <t>ranger 1</t>
  </si>
  <si>
    <t>paladin 1</t>
  </si>
  <si>
    <t>cleric of bane 1</t>
  </si>
  <si>
    <t>fighter 4</t>
  </si>
  <si>
    <t>cleric 21</t>
  </si>
  <si>
    <t>bard 11</t>
  </si>
  <si>
    <t>rogue 236</t>
  </si>
  <si>
    <t>illusionist 1</t>
  </si>
  <si>
    <t>illusionist 8</t>
  </si>
  <si>
    <t>cleric 17</t>
  </si>
  <si>
    <t>fighter 2</t>
  </si>
  <si>
    <t>monk(1)/cleric of bane/illusionist</t>
  </si>
  <si>
    <t>paladin(1)/sorcerer</t>
  </si>
  <si>
    <t>monk(1)/druid(21)/illusionist</t>
  </si>
  <si>
    <t>mph</t>
  </si>
  <si>
    <t>distance</t>
  </si>
  <si>
    <t>electric loop</t>
  </si>
  <si>
    <t>King Ixilthetocal</t>
  </si>
  <si>
    <t>Hive Mother</t>
  </si>
  <si>
    <t>Darskhelin</t>
  </si>
  <si>
    <t>Ziatar</t>
  </si>
  <si>
    <t>Fledgling Vampire</t>
  </si>
  <si>
    <t>kuo-toa prince</t>
  </si>
  <si>
    <t>underdark</t>
  </si>
  <si>
    <t>cleric/thief, 10 HP regen per second</t>
  </si>
  <si>
    <t>pai'na</t>
  </si>
  <si>
    <t>death knight</t>
  </si>
  <si>
    <r>
      <t>9F</t>
    </r>
    <r>
      <rPr>
        <sz val="11"/>
        <color rgb="FFFF0000"/>
        <rFont val="Calibri"/>
        <family val="2"/>
        <scheme val="minor"/>
      </rPr>
      <t>20</t>
    </r>
    <r>
      <rPr>
        <sz val="11"/>
        <color theme="1"/>
        <rFont val="Calibri"/>
        <family val="2"/>
        <scheme val="minor"/>
      </rPr>
      <t>M9C</t>
    </r>
  </si>
  <si>
    <t>fighter/mage/cleric, undead</t>
  </si>
  <si>
    <t>Pai'Na</t>
  </si>
  <si>
    <t>Wraith</t>
  </si>
  <si>
    <t>Kuo-toa Prince</t>
  </si>
  <si>
    <t>Ixilthetocal</t>
  </si>
  <si>
    <t>sion</t>
  </si>
  <si>
    <t>Sion</t>
  </si>
  <si>
    <t>alhoon</t>
  </si>
  <si>
    <t>fighter/mage, improved alacrity</t>
  </si>
  <si>
    <t>Viper</t>
  </si>
  <si>
    <t>15 HP</t>
  </si>
  <si>
    <t>STR 10</t>
  </si>
  <si>
    <t>17 DEX</t>
  </si>
  <si>
    <t>THAC0 15</t>
  </si>
  <si>
    <t>2 attacks</t>
  </si>
  <si>
    <t>General animal</t>
  </si>
  <si>
    <t>no race</t>
  </si>
  <si>
    <t>male</t>
  </si>
  <si>
    <t>true neutral</t>
  </si>
  <si>
    <t>saves of level 5 fighter</t>
  </si>
  <si>
    <t>natural weapon</t>
  </si>
  <si>
    <t>nonmagical</t>
  </si>
  <si>
    <t>1d6 piercing</t>
  </si>
  <si>
    <t>speed factor 5</t>
  </si>
  <si>
    <t>poison, 2 per second for 6 seconds on failed save vs. death</t>
  </si>
  <si>
    <t>range 1</t>
  </si>
  <si>
    <t>add STR</t>
  </si>
  <si>
    <t>cleric/mage/monk</t>
  </si>
  <si>
    <t>cleric/sorcerer/monk</t>
  </si>
  <si>
    <t>illusionist to 17</t>
  </si>
  <si>
    <t>add monk 1</t>
  </si>
  <si>
    <t>add cleric 1</t>
  </si>
  <si>
    <t>add cleric 11</t>
  </si>
  <si>
    <t>necro</t>
  </si>
  <si>
    <t>subv</t>
  </si>
  <si>
    <t>ii</t>
  </si>
  <si>
    <t>LE drow bard(5)/sorcerer(20)/rogue(2)/cleric of bane(1)/fighter(2)</t>
  </si>
  <si>
    <t>LE drow sorcerer</t>
  </si>
  <si>
    <t>Wight</t>
  </si>
  <si>
    <t>Alhoon</t>
  </si>
  <si>
    <t>Carnifex</t>
  </si>
  <si>
    <t>Saladrex</t>
  </si>
  <si>
    <t>Frisky Bits</t>
  </si>
  <si>
    <t>Elder Orb</t>
  </si>
  <si>
    <t>Nizidramanii'yt</t>
  </si>
  <si>
    <t>Gorkan Bloodaxe</t>
  </si>
  <si>
    <t>Warden</t>
  </si>
  <si>
    <t>Balor</t>
  </si>
  <si>
    <t>end of ToB</t>
  </si>
  <si>
    <t>end of SoA</t>
  </si>
  <si>
    <t>late SoA</t>
  </si>
  <si>
    <t>Alhoon makes both Darskhelin and Sion redundant</t>
  </si>
  <si>
    <t>Use Control Circlet on Alhoon</t>
  </si>
  <si>
    <t>The Huntress</t>
  </si>
  <si>
    <t>Nalmissra</t>
  </si>
  <si>
    <t>get Nizidramanii'yt for Nine Hells</t>
  </si>
  <si>
    <t>remove Nizidramanii'yt at some point</t>
  </si>
  <si>
    <t>replace Ziatar with Balor or Ixilthetocal</t>
  </si>
  <si>
    <t>use Control Circlet on Alhoon and replace Darskhelin</t>
  </si>
  <si>
    <t>whenever we get energy drain, we can replace the Wight</t>
  </si>
  <si>
    <t>whenever we get Summon Planetar, we can replace Sion</t>
  </si>
  <si>
    <t>before final battle, consider Carnifex, Saladrex, and the Huntress</t>
  </si>
  <si>
    <t>Unseeing Eye</t>
  </si>
  <si>
    <t>beholder hive</t>
  </si>
  <si>
    <t>firkraag</t>
  </si>
  <si>
    <t>twisted rune</t>
  </si>
  <si>
    <t>mage, no spell slots, improved alacrity, 75% or 50% resistance to everything</t>
  </si>
  <si>
    <t>ancient vampire</t>
  </si>
  <si>
    <t>yaga-shura</t>
  </si>
  <si>
    <t>Wizard Slayer/Cleric</t>
  </si>
  <si>
    <t>Cleric of Helm</t>
  </si>
  <si>
    <t>half elf</t>
  </si>
  <si>
    <t>Belhifet: acid arrow, magic missile, lower resistance</t>
  </si>
  <si>
    <t>BG1: spirit animals</t>
  </si>
  <si>
    <t>issue 1: no Raise Dead in BG1, very late Raise Dead in SoD</t>
  </si>
  <si>
    <t>traps, Alchemy</t>
  </si>
  <si>
    <t>armor of faith+hardiness, critical strike+harm</t>
  </si>
  <si>
    <t>Raise Dead in SoD, cleric buffs+harm</t>
  </si>
  <si>
    <t>ToB: fire seeds for mages, earth elemental form for druids, Wish-resting and Wish-Hardiness</t>
  </si>
  <si>
    <t>BG2: wizard slayer fire seeds for mages</t>
  </si>
  <si>
    <t>get cat</t>
  </si>
  <si>
    <t>get Gorken Bloodaxe</t>
  </si>
  <si>
    <t>ankheg shells</t>
  </si>
  <si>
    <t>stone to flesh scrolls</t>
  </si>
  <si>
    <t>use basilisk XP loop to reach level 10</t>
  </si>
  <si>
    <t>get Duergar Cleric, actually 5/5 cleric/thief</t>
  </si>
  <si>
    <t>Sirines for level 4</t>
  </si>
  <si>
    <t>basilisks for level 6</t>
  </si>
  <si>
    <t>get Ghast</t>
  </si>
  <si>
    <t>Gorken Bloodaxe</t>
  </si>
  <si>
    <t>Duergar Cleric</t>
  </si>
  <si>
    <t>Ghast</t>
  </si>
  <si>
    <t>Miranda the Witch</t>
  </si>
  <si>
    <t>Kieran, Cloakwood vendor</t>
  </si>
  <si>
    <t>Kirinhale</t>
  </si>
  <si>
    <t>Schlumpsa</t>
  </si>
  <si>
    <t>Duergar Thief</t>
  </si>
  <si>
    <t>2.5 attacks</t>
  </si>
  <si>
    <t>Maneira, east of carnival</t>
  </si>
  <si>
    <t>5 attacks</t>
  </si>
  <si>
    <t>Grael, level 4 of Durlag's Tower</t>
  </si>
  <si>
    <t>4?</t>
  </si>
  <si>
    <t>Angel the Cat, Baldur's Gate North area, southwest part</t>
  </si>
  <si>
    <t>Kaishas Gan</t>
  </si>
  <si>
    <t>Mulahey</t>
  </si>
  <si>
    <t>Tenya</t>
  </si>
  <si>
    <t>basilisk for level 6</t>
  </si>
  <si>
    <t>get Maneira, tenya/mulahey, ghast</t>
  </si>
  <si>
    <t>ankheg armor</t>
  </si>
  <si>
    <t>far lower left farm</t>
  </si>
  <si>
    <t>in Nashkel</t>
  </si>
  <si>
    <t>Lesser Basilisk</t>
  </si>
  <si>
    <t>gorky</t>
  </si>
  <si>
    <t>duergar cleric</t>
  </si>
  <si>
    <t>maneira</t>
  </si>
  <si>
    <t>Morentherene</t>
  </si>
  <si>
    <t>Neothelid</t>
  </si>
  <si>
    <t>Maneira</t>
  </si>
  <si>
    <t>Ancient Vampire</t>
  </si>
  <si>
    <t>use Stone to Flesh XP loop on Thaxll'ssilliyia or Nizidramanii'yt</t>
  </si>
  <si>
    <t>Armored Skeleton</t>
  </si>
  <si>
    <t>262 seconds</t>
  </si>
  <si>
    <t>43 rounds, plus a casting time of 6</t>
  </si>
  <si>
    <t>Just as Gorky finishes casting Polymorph Self, have a second character cast something with a casting time of 5.</t>
  </si>
  <si>
    <t>Now we're set to 6 seconds after Gorky finishes casting Polymorph Self.</t>
  </si>
  <si>
    <t>Just after that spell ends, have a third character cast something with a casting time of 5.</t>
  </si>
  <si>
    <t>Now we're set to 1.556 rounds after Polymorph Self.</t>
  </si>
  <si>
    <t>Have Gorky shapeshift for 42-43 rounds. Make sure he is slowed before the last one.</t>
  </si>
  <si>
    <t>He will begin shapeshifting at 43.556 rounds and finish shapeshifting after 43.667 rounds.</t>
  </si>
  <si>
    <t>For Shapechange, the duration of the spell is 300 seconds and ends at 301 seconds.</t>
  </si>
  <si>
    <t>We need to offset the timing by a single second.</t>
  </si>
  <si>
    <t>Second character should cast something with a casting time of 1.</t>
  </si>
  <si>
    <t>Third character begins casting.</t>
  </si>
  <si>
    <t>Gorky begins shapeshifting.</t>
  </si>
  <si>
    <t>Gorky should be slowed.</t>
  </si>
  <si>
    <t>Gorky finishes shapeshifting.</t>
  </si>
  <si>
    <t>Psionic Blast+Improved Alacrity should get a 99.3% chance of stunning Melissan for 60 seconds after 30 castings in 1 second, provided that Sendai is dead.</t>
  </si>
  <si>
    <t>Illasera is also vulnerable, with the same save vs. spell.</t>
  </si>
  <si>
    <t>Sendai is also vulnerable, with the same save vs. spell.</t>
  </si>
  <si>
    <t>Yaga-Shura may also be vulnerable assuming he has no rage, and has a save vs. spell of 6, so 15 Psionic Blasts will give a 98.9% chance of stunning him.</t>
  </si>
  <si>
    <t>Sarevok should be vulnerable but it's better to use a Control Circlet.</t>
  </si>
  <si>
    <t>Everyone else is immune, including the Fallen Solars.</t>
  </si>
  <si>
    <t>Control Circlet on Sarevok</t>
  </si>
  <si>
    <t>Psionic Blast on Illasera and Sendai</t>
  </si>
  <si>
    <t>Kill Yaga-Shura or Abazigal</t>
  </si>
  <si>
    <t>Melissan appears</t>
  </si>
  <si>
    <t>Kill Sendai</t>
  </si>
  <si>
    <t>Psionic Blast on Melissan</t>
  </si>
  <si>
    <t>CON drain on Melissan</t>
  </si>
  <si>
    <t>Kill Fallen Solars.</t>
  </si>
  <si>
    <t>Bring Illasera and Sendai to Near Death</t>
  </si>
  <si>
    <t>If Melissan resists stun or survives CON drain, kill Illasera and then remaining members of the Five</t>
  </si>
  <si>
    <t>Kill Melissan</t>
  </si>
  <si>
    <t>Protection from Magic on Sendai and preferably Abazigal (otherwise use Focus due to Time Stop risk)</t>
  </si>
  <si>
    <t>Make sure Frisk has Focus available</t>
  </si>
  <si>
    <t>Meredath</t>
  </si>
  <si>
    <t>Meredath/Ancient Vampire</t>
  </si>
  <si>
    <t>Lesser Basilisk/Greater Basilisk</t>
  </si>
  <si>
    <t>nishruu</t>
  </si>
  <si>
    <t>nalmissra</t>
  </si>
  <si>
    <t>rajah</t>
  </si>
  <si>
    <t>9 or 11</t>
  </si>
  <si>
    <t>rakshasa mage</t>
  </si>
  <si>
    <t>Rajah</t>
  </si>
  <si>
    <t>Hive Mother (level 9 version)</t>
  </si>
  <si>
    <t>C6Hareishan</t>
  </si>
  <si>
    <t>C6Del</t>
  </si>
  <si>
    <t>C6Meredath</t>
  </si>
  <si>
    <t>C6Salia</t>
  </si>
  <si>
    <t>C6Valen</t>
  </si>
  <si>
    <t>AC 2</t>
  </si>
  <si>
    <t>elemental magic resist 50</t>
  </si>
  <si>
    <t>physical 15</t>
  </si>
  <si>
    <t>STR 25</t>
  </si>
  <si>
    <t>dadrow</t>
  </si>
  <si>
    <t>uddrow31</t>
  </si>
  <si>
    <t>tavern</t>
  </si>
  <si>
    <t>torturer</t>
  </si>
  <si>
    <t>pitchwife</t>
  </si>
  <si>
    <t>fulcrum</t>
  </si>
  <si>
    <t>lance of dis</t>
  </si>
  <si>
    <t>shroud</t>
  </si>
  <si>
    <t>antimagic</t>
  </si>
  <si>
    <t>teleport</t>
  </si>
  <si>
    <t>mind blank</t>
  </si>
  <si>
    <t>mass charm</t>
  </si>
  <si>
    <t>skeleton guard</t>
  </si>
  <si>
    <t>CDIA</t>
  </si>
  <si>
    <t>RZTELEP</t>
  </si>
  <si>
    <t>SCRLDS72</t>
  </si>
  <si>
    <t>SCRLNT71</t>
  </si>
  <si>
    <t>Alternatively, Smite/Power Attack on Melissan via Scorcher Ammunition/Frag Grenades</t>
  </si>
  <si>
    <t>In Ravager form with 50% resistance, plus 25% resistance from Ravager trial, we have 75% resistance</t>
  </si>
  <si>
    <t>Melissan would deal just over 40 damage per round with GWW and Time Stop</t>
  </si>
  <si>
    <t>Regeneration would heal 18 HP per round, or maybe 27 when hasted</t>
  </si>
  <si>
    <t>Frisk will have about 80 HP by the end of the game</t>
  </si>
  <si>
    <t>A Psionic Invisibility would just barely keep Frisk alive during Time Stop if they had Regeneration active.</t>
  </si>
  <si>
    <t>mind flayer city</t>
  </si>
  <si>
    <t>Ust Natha</t>
  </si>
  <si>
    <t>durlag's tower</t>
  </si>
  <si>
    <t>azuredge</t>
  </si>
  <si>
    <t>crooked crane lich</t>
  </si>
  <si>
    <t>alhoon lair</t>
  </si>
  <si>
    <t>Wraith Sarevok, level 15</t>
  </si>
  <si>
    <t>Enslaved Genie, level 13</t>
  </si>
  <si>
    <t>Illasera, 18</t>
  </si>
  <si>
    <t>Illasera</t>
  </si>
  <si>
    <t>Wraith Sarevok</t>
  </si>
  <si>
    <t>Protection from Magic on Sendai and Abazigal</t>
  </si>
  <si>
    <t>Kill Fallen Solars</t>
  </si>
  <si>
    <t>Bring everyone else to Near Death</t>
  </si>
  <si>
    <t>Kill Abazigal</t>
  </si>
  <si>
    <t>Protection from Magic on Melissan</t>
  </si>
  <si>
    <t>Improved Haste on Ancient Vampire</t>
  </si>
  <si>
    <t>Critical Strike on Ancient Vampire</t>
  </si>
  <si>
    <t>If this fails, kill the Five</t>
  </si>
  <si>
    <t>Berserker/Mage</t>
  </si>
  <si>
    <t>Shadowdancer/Mage</t>
  </si>
  <si>
    <t>Wizard Slayer/Mage</t>
  </si>
  <si>
    <t>Berserker(9)/Mage</t>
  </si>
  <si>
    <t>Wizard Slayer(7)/Druid</t>
  </si>
  <si>
    <t>daggers</t>
  </si>
  <si>
    <t>darts, scimitars</t>
  </si>
  <si>
    <t>short swords, shortbows</t>
  </si>
  <si>
    <t>hammer</t>
  </si>
  <si>
    <t>plus 1</t>
  </si>
  <si>
    <t>halberd</t>
  </si>
  <si>
    <t>longbow</t>
  </si>
  <si>
    <t>crossbow</t>
  </si>
  <si>
    <t>scimitar/wakizashi/ninja-to</t>
  </si>
  <si>
    <t>two-handed sword</t>
  </si>
  <si>
    <t>flail</t>
  </si>
  <si>
    <t>morningstar</t>
  </si>
  <si>
    <t>ninja-to</t>
  </si>
  <si>
    <t>plus 2</t>
  </si>
  <si>
    <t>plus 3</t>
  </si>
  <si>
    <t>equalizer</t>
  </si>
  <si>
    <t>dagger of the star</t>
  </si>
  <si>
    <t>gesen's bow</t>
  </si>
  <si>
    <t>taralash, darkfire bow</t>
  </si>
  <si>
    <t>sling of seeking/arvoreen</t>
  </si>
  <si>
    <t>hindo's doom</t>
  </si>
  <si>
    <t>spectral brand</t>
  </si>
  <si>
    <t>foebane, purifier</t>
  </si>
  <si>
    <t>warblade, gram the sword of grief</t>
  </si>
  <si>
    <t>wave blade, ravager</t>
  </si>
  <si>
    <t>axe</t>
  </si>
  <si>
    <t>ice star</t>
  </si>
  <si>
    <t>wave blade, ravager, dragon halberd</t>
  </si>
  <si>
    <t>hammer of thunderbolts, crom faeyr</t>
  </si>
  <si>
    <t>warblade, gram the sword of grief, harbinger, cursed berserking sword</t>
  </si>
  <si>
    <t>hindo's doom, malakar</t>
  </si>
  <si>
    <t>axe of the unyielding, axe of hrothgar, stonefire</t>
  </si>
  <si>
    <t>scimitar</t>
  </si>
  <si>
    <t>Global("RZAllowTeleport","GLOBAL",1)</t>
  </si>
  <si>
    <t>blade of the equalizer, beholder lair</t>
  </si>
  <si>
    <t>crom faeyr scroll</t>
  </si>
  <si>
    <t>hammer of thunderbolts</t>
  </si>
  <si>
    <t>wave shaft, planar prison</t>
  </si>
  <si>
    <t>amulet of spell warding, beholder lair</t>
  </si>
  <si>
    <t>golden girdle, planar sphere</t>
  </si>
  <si>
    <t>pixie prick, planar sphere, for quietus</t>
  </si>
  <si>
    <t>illithium</t>
  </si>
  <si>
    <t>keldorn's armor and sword are worth forging</t>
  </si>
  <si>
    <t>quiver/case/bag of plenty +3</t>
  </si>
  <si>
    <t>ring of protection +2 plus ring of regeneration</t>
  </si>
  <si>
    <t>holy buckler of amaunator</t>
  </si>
  <si>
    <t>clear De'Arnise with Crom Faeyr</t>
  </si>
  <si>
    <t>helm of charm protection plus control circlet, forge before alhoon</t>
  </si>
  <si>
    <t>sword, armor, Dispel Magic</t>
  </si>
  <si>
    <t>chaos blade, Mislead song and backstabs with Quietus</t>
  </si>
  <si>
    <t>iron golem form + Assassination</t>
  </si>
  <si>
    <t>Alora</t>
  </si>
  <si>
    <t>3 APR flail, MR stacking</t>
  </si>
  <si>
    <t>Abazigal</t>
  </si>
  <si>
    <t>Sendai</t>
  </si>
  <si>
    <t>Yaga-Shura</t>
  </si>
  <si>
    <t>Balthazar</t>
  </si>
  <si>
    <t>Melissan</t>
  </si>
  <si>
    <t>Gromnir</t>
  </si>
  <si>
    <t>Fallen Solar</t>
  </si>
  <si>
    <t>Lower Resistance x2 on Illasera</t>
  </si>
  <si>
    <t>Open with Maze traps</t>
  </si>
  <si>
    <t>Wizard Slayer spell failure to hold down Sendai and Abazigal</t>
  </si>
  <si>
    <t>Nature's Beauty on Illasera, can also blind Yaga-Shura easily</t>
  </si>
  <si>
    <t>Break down all defenses so we can kill each member of the Five quickly</t>
  </si>
  <si>
    <t>Kill Fallen Solars early</t>
  </si>
  <si>
    <t>Critical Strike</t>
  </si>
  <si>
    <t>Smite</t>
  </si>
  <si>
    <t>48 HLAs after mage HLAs, Smite, GWW, UAI, and Assassination</t>
  </si>
  <si>
    <t>Greater Whirlwind Attack</t>
  </si>
  <si>
    <t>Extra level 6 spell</t>
  </si>
  <si>
    <t>Whirlwind Attack</t>
  </si>
  <si>
    <t>Use Any Item</t>
  </si>
  <si>
    <t>Set Time Trap</t>
  </si>
  <si>
    <t>Set Spike Trap</t>
  </si>
  <si>
    <t>Extra level 7 spell</t>
  </si>
  <si>
    <t>Extra level 8 spell</t>
  </si>
  <si>
    <t>plus all mage HLAs</t>
  </si>
  <si>
    <t>restless</t>
  </si>
  <si>
    <t>Eldritch Beam</t>
  </si>
  <si>
    <t>Warlock</t>
  </si>
  <si>
    <t>Xzar</t>
  </si>
  <si>
    <t>Montaron</t>
  </si>
  <si>
    <t>Guards at FAI</t>
  </si>
  <si>
    <t>Marl 900</t>
  </si>
  <si>
    <t>Silke 900</t>
  </si>
  <si>
    <t>Sirines 8000</t>
  </si>
  <si>
    <t>Huge Spiders</t>
  </si>
  <si>
    <t>Morninglord Guards</t>
  </si>
  <si>
    <t>Ankhegs</t>
  </si>
  <si>
    <t>Ankhegs 9000</t>
  </si>
  <si>
    <t>Bassilus</t>
  </si>
  <si>
    <t>Bassilus 900</t>
  </si>
  <si>
    <t>Garrick</t>
  </si>
  <si>
    <t>Tiax</t>
  </si>
  <si>
    <t>Ajantis</t>
  </si>
  <si>
    <t>Silke</t>
  </si>
  <si>
    <t>Sirines</t>
  </si>
  <si>
    <t>Tarnesh</t>
  </si>
  <si>
    <t>Flaming Fist Mercenaries</t>
  </si>
  <si>
    <t>Kobolds</t>
  </si>
  <si>
    <t>Mur'neth</t>
  </si>
  <si>
    <t>Minsc, Edwin</t>
  </si>
  <si>
    <t>Gnolls</t>
  </si>
  <si>
    <t>Protection from Evil 10' Radius on demons</t>
  </si>
  <si>
    <t>Wolfwere tokens, Avenger tokens</t>
  </si>
  <si>
    <t>blind traps</t>
  </si>
  <si>
    <t>Haste fatigue on charmed critters</t>
  </si>
  <si>
    <t>hotkey trick</t>
  </si>
  <si>
    <t>Quick save trick with Holy Word</t>
  </si>
  <si>
    <t>Blindness on the whole party and invisibility to permit the quick save trick mid-combat</t>
  </si>
  <si>
    <t>Level 8 bigby holds 109 for one round with no save, does not bypass MR, level 8</t>
  </si>
  <si>
    <t>mid-combat Chain Contingency?</t>
  </si>
  <si>
    <t>Level drain plus rest</t>
  </si>
  <si>
    <t>Champion's Strength stacking for mind flayer form and carrion summons</t>
  </si>
  <si>
    <t>blindness grants immunity to GAZE, Color Spray, and Death Gaze</t>
  </si>
  <si>
    <t>Color Spray knocks the target unconscious with no save if he or she is lower-level than the caster, does not bypass MR, level 1</t>
  </si>
  <si>
    <t>Quick save trick with traps</t>
  </si>
  <si>
    <t>Wraith Form stacking</t>
  </si>
  <si>
    <t>Quick save trick with sequencers</t>
  </si>
  <si>
    <t>Scorcher loop</t>
  </si>
  <si>
    <t>Cleric of Tyr/Cleric of Helm</t>
  </si>
  <si>
    <t>castings</t>
  </si>
  <si>
    <t>per sorcerer</t>
  </si>
  <si>
    <t>sorcerers</t>
  </si>
  <si>
    <t>each sorcerer needs:</t>
  </si>
  <si>
    <t>one sorcerer needs:</t>
  </si>
  <si>
    <t>Protection from Petrification</t>
  </si>
  <si>
    <t>two sorcerers need:</t>
  </si>
  <si>
    <t>Invisibility 10' Radius</t>
  </si>
  <si>
    <t>Find Familiar</t>
  </si>
  <si>
    <t>Sorcerer 2</t>
  </si>
  <si>
    <t>Sorcerer 3</t>
  </si>
  <si>
    <t>Contingency</t>
  </si>
  <si>
    <t>Spirit Armor</t>
  </si>
  <si>
    <t>Protection from Magical Energy</t>
  </si>
  <si>
    <t>Melf's Minute Meteors</t>
  </si>
  <si>
    <t>Protection from Cold</t>
  </si>
  <si>
    <t>Minor Sequencer</t>
  </si>
  <si>
    <t>Minor Spell Deflection</t>
  </si>
  <si>
    <t>Secret Word</t>
  </si>
  <si>
    <t>Breach</t>
  </si>
  <si>
    <t>Time Stop</t>
  </si>
  <si>
    <t>Shapechange</t>
  </si>
  <si>
    <t>Spellstrike</t>
  </si>
  <si>
    <t>Chain Contingency</t>
  </si>
  <si>
    <t>Freedom</t>
  </si>
  <si>
    <t>Khelben's Warding Whip</t>
  </si>
  <si>
    <t>Spell Trigger</t>
  </si>
  <si>
    <t>skull sequencer</t>
  </si>
  <si>
    <t>amulet of spell warding</t>
  </si>
  <si>
    <t>shield of the order</t>
  </si>
  <si>
    <t>potion</t>
  </si>
  <si>
    <t>both</t>
  </si>
  <si>
    <t>neither</t>
  </si>
  <si>
    <t>female</t>
  </si>
  <si>
    <t>Rasaad-&gt;Wilson</t>
  </si>
  <si>
    <t>Baeloth</t>
  </si>
  <si>
    <t>Resist Fear?</t>
  </si>
  <si>
    <t>Remove Magic?</t>
  </si>
  <si>
    <t>Invisibility Sphere?</t>
  </si>
  <si>
    <t>Dimension Jump</t>
  </si>
  <si>
    <t>Break Enchantment</t>
  </si>
  <si>
    <t>Enchanted Weapon</t>
  </si>
  <si>
    <t>Dispelling Screen</t>
  </si>
  <si>
    <t>Spell Deflection? Level 7</t>
  </si>
  <si>
    <t>Non-Detection</t>
  </si>
  <si>
    <t>Fireburst</t>
  </si>
  <si>
    <t>Pierce Magic?</t>
  </si>
  <si>
    <t>Animate Skeleton Warrior</t>
  </si>
  <si>
    <t>Greater Spell Deflection</t>
  </si>
  <si>
    <t>Protection from the Elements</t>
  </si>
  <si>
    <t>Ruby Ray of Reversal</t>
  </si>
  <si>
    <t>Prismatic Mantle</t>
  </si>
  <si>
    <t>Mass Invisibility</t>
  </si>
  <si>
    <t>Protection from Energy (redundant with pro magical energy; pro elements already grants immunity to acid)</t>
  </si>
  <si>
    <t>Pierce Shield</t>
  </si>
  <si>
    <t>Moment of Prescience</t>
  </si>
  <si>
    <t>Spell Sequencer</t>
  </si>
  <si>
    <t>Power Word: Blind</t>
  </si>
  <si>
    <t>Absolute Immunity</t>
  </si>
  <si>
    <t>Larloch's Energy Drain</t>
  </si>
  <si>
    <t>Spell Thrust</t>
  </si>
  <si>
    <t>Protection from Elemental Energy</t>
  </si>
  <si>
    <t>will lock down each one of the Five</t>
  </si>
  <si>
    <t>flail +3</t>
  </si>
  <si>
    <t>Tenser's Transformation+Shapechange+Larloch's Energy Drain</t>
  </si>
  <si>
    <t>Earth Elemental form</t>
  </si>
  <si>
    <t>dorn can cast absorb health indefinitely with the reform party trick</t>
  </si>
  <si>
    <t>any thief can set unlimited traps</t>
  </si>
  <si>
    <t>Frisk to 10,000 XP</t>
  </si>
  <si>
    <t>Faldorn</t>
  </si>
  <si>
    <t>Baeloth to level 7</t>
  </si>
  <si>
    <t>arow</t>
  </si>
  <si>
    <r>
      <t>symbol fear/</t>
    </r>
    <r>
      <rPr>
        <sz val="11"/>
        <color rgb="FF0070C0"/>
        <rFont val="Calibri"/>
        <family val="2"/>
        <scheme val="minor"/>
      </rPr>
      <t>symbol of weakness</t>
    </r>
  </si>
  <si>
    <r>
      <t>confusion/</t>
    </r>
    <r>
      <rPr>
        <sz val="11"/>
        <color rgb="FF0070C0"/>
        <rFont val="Calibri"/>
        <family val="2"/>
        <scheme val="minor"/>
      </rPr>
      <t>chaos</t>
    </r>
  </si>
  <si>
    <t>stacking blur</t>
  </si>
  <si>
    <t>stacking frozen fist</t>
  </si>
  <si>
    <t>stacking storm shield (+4 AC vs. missiles and breath)</t>
  </si>
  <si>
    <t>Corwin</t>
  </si>
  <si>
    <t>Coran</t>
  </si>
  <si>
    <t>Dynaheir</t>
  </si>
  <si>
    <t>Yeslick</t>
  </si>
  <si>
    <t>sorcerer 2</t>
  </si>
  <si>
    <t>sorcerer 3</t>
  </si>
  <si>
    <t>pi 1</t>
  </si>
  <si>
    <t>pi 2</t>
  </si>
  <si>
    <t>pi 3</t>
  </si>
  <si>
    <t>pi 4</t>
  </si>
  <si>
    <t>pi 5</t>
  </si>
  <si>
    <t>pi 6</t>
  </si>
  <si>
    <t>pi 7</t>
  </si>
  <si>
    <t>RRoR or Spellstrike on Melissan</t>
  </si>
  <si>
    <t>Lower Resistance Spell Trigger on Melissan</t>
  </si>
  <si>
    <t>Implosion on Melissan</t>
  </si>
  <si>
    <t>Project Image to PW: Stun on Melissan</t>
  </si>
  <si>
    <t>kill Balthazar or Sendai</t>
  </si>
  <si>
    <t>Imprisonment on Abazigal, Yaga-Shura, Gromnir, Illasera, Sarevok, and maybe Sendai</t>
  </si>
  <si>
    <t>Archer(9)-&gt;Cleric</t>
  </si>
  <si>
    <t>longbows</t>
  </si>
  <si>
    <t>shortbows</t>
  </si>
  <si>
    <t>kite shoal</t>
  </si>
  <si>
    <t>algernon's cloak</t>
  </si>
  <si>
    <t>basilisks</t>
  </si>
  <si>
    <t>shoal</t>
  </si>
  <si>
    <t>ankhegs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</si>
</sst>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Calibri"/>
      <family val="2"/>
      <scheme val="minor"/>
    </font>
    <font>
      <sz val="11"/>
      <color rgb="FFFF0000"/>
      <name val="Calibri"/>
      <family val="2"/>
      <scheme val="minor"/>
    </font>
    <font>
      <b/>
      <sz val="11"/>
      <color theme="1"/>
      <name val="Calibri"/>
      <family val="2"/>
      <scheme val="minor"/>
    </font>
    <font>
      <sz val="11"/>
      <color theme="0" tint="-0.499984740745262"/>
      <name val="Calibri"/>
      <family val="2"/>
      <scheme val="minor"/>
    </font>
    <font>
      <b/>
      <sz val="11"/>
      <color theme="0" tint="-0.499984740745262"/>
      <name val="Calibri"/>
      <family val="2"/>
      <scheme val="minor"/>
    </font>
    <font>
      <sz val="11"/>
      <color rgb="FF00B050"/>
      <name val="Calibri"/>
      <family val="2"/>
      <scheme val="minor"/>
    </font>
    <font>
      <sz val="11"/>
      <color rgb="FF0070C0"/>
      <name val="Calibri"/>
      <family val="2"/>
      <scheme val="minor"/>
    </font>
    <font>
      <sz val="11"/>
      <color rgb="FF7030A0"/>
      <name val="Calibri"/>
      <family val="2"/>
      <scheme val="minor"/>
    </font>
    <font>
      <sz val="11"/>
      <name val="Calibri"/>
      <family val="2"/>
      <scheme val="minor"/>
    </font>
    <font>
      <b/>
      <sz val="11"/>
      <color rgb="FF7030A0"/>
      <name val="Calibri"/>
      <family val="2"/>
      <scheme val="minor"/>
    </font>
    <font>
      <b/>
      <sz val="11"/>
      <color rgb="FF0070C0"/>
      <name val="Calibri"/>
      <family val="2"/>
      <scheme val="minor"/>
    </font>
    <font>
      <sz val="11"/>
      <color theme="9" tint="-0.499984740745262"/>
      <name val="Calibri"/>
      <family val="2"/>
      <scheme val="minor"/>
    </font>
    <font>
      <sz val="12"/>
      <color theme="1"/>
      <name val="Times New Roman"/>
      <family val="1"/>
    </font>
    <font>
      <i/>
      <sz val="11"/>
      <color theme="1"/>
      <name val="Calibri"/>
      <family val="2"/>
      <scheme val="minor"/>
    </font>
    <font>
      <b/>
      <i/>
      <sz val="11"/>
      <color theme="1"/>
      <name val="Calibri"/>
      <family val="2"/>
      <scheme val="minor"/>
    </font>
    <font>
      <b/>
      <sz val="11"/>
      <color rgb="FFFF0000"/>
      <name val="Calibri"/>
      <family val="2"/>
      <scheme val="minor"/>
    </font>
    <font>
      <sz val="12"/>
      <color rgb="FF00B050"/>
      <name val="Times New Roman"/>
      <family val="1"/>
    </font>
    <font>
      <b/>
      <sz val="11"/>
      <name val="Calibri"/>
      <family val="2"/>
      <scheme val="minor"/>
    </font>
    <font>
      <sz val="11"/>
      <color rgb="FFD7D200"/>
      <name val="Calibri"/>
      <family val="2"/>
      <scheme val="minor"/>
    </font>
    <font>
      <sz val="11"/>
      <color theme="0"/>
      <name val="Calibri"/>
      <family val="2"/>
      <scheme val="minor"/>
    </font>
    <font>
      <sz val="11"/>
      <color theme="1"/>
      <name val="Calibri"/>
      <family val="2"/>
      <scheme val="minor"/>
    </font>
    <font>
      <b/>
      <sz val="11"/>
      <color theme="1"/>
      <name val="Calibri"/>
      <family val="2"/>
      <scheme val="minor"/>
    </font>
    <font>
      <sz val="11"/>
      <name val="Calibri"/>
      <family val="2"/>
      <scheme val="minor"/>
    </font>
    <font>
      <sz val="11"/>
      <color rgb="FFFF0000"/>
      <name val="Calibri"/>
      <family val="2"/>
      <scheme val="minor"/>
    </font>
    <font>
      <b/>
      <sz val="1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32">
    <xf numFmtId="0" fontId="0" fillId="0" borderId="0" xfId="0"/>
    <xf numFmtId="0" fontId="0" fillId="0" borderId="0" xfId="0" applyFont="1"/>
    <xf numFmtId="0" fontId="1" fillId="0" borderId="0" xfId="0" applyFont="1"/>
    <xf numFmtId="0" fontId="3" fillId="0" borderId="0" xfId="0" applyFont="1"/>
    <xf numFmtId="0" fontId="2" fillId="0" borderId="0" xfId="0" applyFont="1"/>
    <xf numFmtId="0" fontId="4" fillId="0" borderId="0" xfId="0" applyFont="1"/>
    <xf numFmtId="0" fontId="5" fillId="0" borderId="0" xfId="0" applyFont="1"/>
    <xf numFmtId="0" fontId="6" fillId="0" borderId="0" xfId="0" applyFont="1"/>
    <xf numFmtId="0" fontId="7" fillId="0" borderId="0" xfId="0" applyFont="1"/>
    <xf numFmtId="0" fontId="8" fillId="0" borderId="0" xfId="0" applyFont="1"/>
    <xf numFmtId="0" fontId="9" fillId="0" borderId="0" xfId="0" applyFont="1"/>
    <xf numFmtId="0" fontId="10" fillId="0" borderId="0" xfId="0" applyFont="1"/>
    <xf numFmtId="0" fontId="11" fillId="0" borderId="0" xfId="0" applyFont="1"/>
    <xf numFmtId="0" fontId="12" fillId="0" borderId="0" xfId="0" applyFont="1" applyAlignment="1">
      <alignment vertical="center"/>
    </xf>
    <xf numFmtId="3" fontId="0" fillId="0" borderId="0" xfId="0" applyNumberFormat="1"/>
    <xf numFmtId="3" fontId="6" fillId="0" borderId="0" xfId="0" applyNumberFormat="1" applyFont="1"/>
    <xf numFmtId="0" fontId="14" fillId="0" borderId="0" xfId="0" applyFont="1"/>
    <xf numFmtId="0" fontId="13" fillId="0" borderId="0" xfId="0" applyFont="1"/>
    <xf numFmtId="17" fontId="0" fillId="0" borderId="0" xfId="0" applyNumberFormat="1"/>
    <xf numFmtId="0" fontId="15" fillId="0" borderId="0" xfId="0" applyFont="1"/>
    <xf numFmtId="1" fontId="0" fillId="0" borderId="0" xfId="0" applyNumberFormat="1" applyFont="1"/>
    <xf numFmtId="0" fontId="16" fillId="0" borderId="0" xfId="0" applyFont="1"/>
    <xf numFmtId="9" fontId="0" fillId="0" borderId="0" xfId="0" applyNumberFormat="1"/>
    <xf numFmtId="0" fontId="17" fillId="0" borderId="0" xfId="0" applyFont="1"/>
    <xf numFmtId="0" fontId="18" fillId="0" borderId="0" xfId="0" applyFont="1"/>
    <xf numFmtId="0" fontId="19" fillId="0" borderId="0" xfId="0" applyFont="1"/>
    <xf numFmtId="0" fontId="20" fillId="0" borderId="0" xfId="0" applyFont="1"/>
    <xf numFmtId="0" fontId="21" fillId="0" borderId="0" xfId="0" applyFont="1"/>
    <xf numFmtId="0" fontId="22" fillId="0" borderId="0" xfId="0" applyFont="1"/>
    <xf numFmtId="0" fontId="23" fillId="0" borderId="0" xfId="0" applyFont="1"/>
    <xf numFmtId="0" fontId="24" fillId="0" borderId="0" xfId="0" applyFont="1"/>
    <xf numFmtId="16" fontId="22" fillId="0" borderId="0" xfId="0" applyNumberFormat="1" applyFont="1"/>
  </cellXfs>
  <cellStyles count="1">
    <cellStyle name="Normal" xfId="0" builtinId="0"/>
  </cellStyles>
  <dxfs count="0"/>
  <tableStyles count="0" defaultTableStyle="TableStyleMedium9" defaultPivotStyle="PivotStyleLight16"/>
  <colors>
    <mruColors>
      <color rgb="FFD7D200"/>
      <color rgb="FFF28A00"/>
      <color rgb="FF018FAB"/>
      <color rgb="FFA8AC00"/>
      <color rgb="FFAB019F"/>
      <color rgb="FFD501C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44"/>
  <sheetViews>
    <sheetView workbookViewId="0">
      <selection activeCell="E7" sqref="E7"/>
    </sheetView>
  </sheetViews>
  <sheetFormatPr defaultRowHeight="15" x14ac:dyDescent="0.25"/>
  <cols>
    <col min="9" max="9" width="9.7109375" bestFit="1" customWidth="1"/>
    <col min="17" max="17" width="10.42578125" customWidth="1"/>
  </cols>
  <sheetData>
    <row r="1" spans="1:20" x14ac:dyDescent="0.25">
      <c r="A1" t="s">
        <v>137</v>
      </c>
      <c r="B1" s="1" t="s">
        <v>119</v>
      </c>
      <c r="C1" t="s">
        <v>127</v>
      </c>
      <c r="D1" s="1" t="s">
        <v>123</v>
      </c>
      <c r="E1" t="s">
        <v>124</v>
      </c>
      <c r="F1" s="4" t="s">
        <v>125</v>
      </c>
      <c r="G1" t="s">
        <v>126</v>
      </c>
      <c r="H1" t="s">
        <v>128</v>
      </c>
      <c r="I1" t="s">
        <v>120</v>
      </c>
      <c r="J1" t="s">
        <v>121</v>
      </c>
      <c r="K1" t="s">
        <v>122</v>
      </c>
      <c r="N1" s="4" t="s">
        <v>1106</v>
      </c>
      <c r="O1" s="1" t="s">
        <v>1107</v>
      </c>
      <c r="P1" t="s">
        <v>1108</v>
      </c>
      <c r="Q1" t="s">
        <v>1109</v>
      </c>
      <c r="R1" t="s">
        <v>1110</v>
      </c>
      <c r="S1" t="s">
        <v>1111</v>
      </c>
      <c r="T1" t="s">
        <v>1112</v>
      </c>
    </row>
    <row r="2" spans="1:20" x14ac:dyDescent="0.25">
      <c r="A2">
        <v>2</v>
      </c>
      <c r="B2" s="1">
        <v>2500</v>
      </c>
      <c r="C2">
        <v>2500</v>
      </c>
      <c r="D2" s="1">
        <v>1500</v>
      </c>
      <c r="E2">
        <v>2000</v>
      </c>
      <c r="F2" s="4">
        <v>1250</v>
      </c>
      <c r="G2">
        <v>1250</v>
      </c>
      <c r="H2">
        <v>1500</v>
      </c>
      <c r="I2">
        <v>2000</v>
      </c>
      <c r="J2">
        <v>2250</v>
      </c>
      <c r="K2">
        <v>2250</v>
      </c>
      <c r="L2" s="6">
        <f t="shared" ref="L2:L41" si="0">AVERAGE(A2:K2)</f>
        <v>1727.4545454545455</v>
      </c>
      <c r="M2">
        <v>10000</v>
      </c>
      <c r="N2" s="4">
        <f t="shared" ref="N2:N22" si="1">M2/2</f>
        <v>5000</v>
      </c>
      <c r="O2" s="20">
        <f t="shared" ref="O2:O22" si="2">M2/3</f>
        <v>3333.3333333333335</v>
      </c>
      <c r="P2">
        <v>3</v>
      </c>
      <c r="Q2">
        <v>4</v>
      </c>
      <c r="R2">
        <v>3</v>
      </c>
      <c r="S2">
        <v>2</v>
      </c>
      <c r="T2">
        <v>3</v>
      </c>
    </row>
    <row r="3" spans="1:20" x14ac:dyDescent="0.25">
      <c r="A3">
        <v>3</v>
      </c>
      <c r="B3" s="1">
        <v>5000</v>
      </c>
      <c r="C3">
        <v>5000</v>
      </c>
      <c r="D3" s="1">
        <v>3000</v>
      </c>
      <c r="E3">
        <v>4000</v>
      </c>
      <c r="F3" s="4">
        <v>2500</v>
      </c>
      <c r="G3">
        <v>2500</v>
      </c>
      <c r="H3">
        <v>3000</v>
      </c>
      <c r="I3">
        <v>4000</v>
      </c>
      <c r="J3">
        <v>4500</v>
      </c>
      <c r="K3">
        <v>4500</v>
      </c>
      <c r="L3" s="6">
        <f t="shared" si="0"/>
        <v>3454.818181818182</v>
      </c>
      <c r="M3">
        <v>20000</v>
      </c>
      <c r="N3" s="4">
        <f t="shared" si="1"/>
        <v>10000</v>
      </c>
      <c r="O3" s="20">
        <f t="shared" si="2"/>
        <v>6666.666666666667</v>
      </c>
      <c r="P3">
        <v>4</v>
      </c>
      <c r="Q3">
        <v>5</v>
      </c>
      <c r="R3">
        <v>4</v>
      </c>
      <c r="S3">
        <v>3</v>
      </c>
      <c r="T3">
        <v>4</v>
      </c>
    </row>
    <row r="4" spans="1:20" x14ac:dyDescent="0.25">
      <c r="A4">
        <v>4</v>
      </c>
      <c r="B4" s="1">
        <v>10000</v>
      </c>
      <c r="C4">
        <v>10000</v>
      </c>
      <c r="D4" s="1">
        <v>6000</v>
      </c>
      <c r="E4">
        <v>7500</v>
      </c>
      <c r="F4" s="4">
        <v>5000</v>
      </c>
      <c r="G4">
        <v>5000</v>
      </c>
      <c r="H4">
        <v>6000</v>
      </c>
      <c r="I4">
        <v>8000</v>
      </c>
      <c r="J4">
        <v>9000</v>
      </c>
      <c r="K4">
        <v>9000</v>
      </c>
      <c r="L4" s="6">
        <f t="shared" si="0"/>
        <v>6864</v>
      </c>
      <c r="M4">
        <v>50000</v>
      </c>
      <c r="N4" s="4">
        <f t="shared" si="1"/>
        <v>25000</v>
      </c>
      <c r="O4" s="20">
        <f t="shared" si="2"/>
        <v>16666.666666666668</v>
      </c>
      <c r="P4">
        <v>5</v>
      </c>
      <c r="Q4">
        <v>6</v>
      </c>
      <c r="R4">
        <v>5</v>
      </c>
      <c r="S4">
        <v>4</v>
      </c>
      <c r="T4">
        <v>5</v>
      </c>
    </row>
    <row r="5" spans="1:20" x14ac:dyDescent="0.25">
      <c r="A5">
        <v>5</v>
      </c>
      <c r="B5" s="1">
        <v>20000</v>
      </c>
      <c r="C5">
        <v>20000</v>
      </c>
      <c r="D5" s="1">
        <v>13000</v>
      </c>
      <c r="E5">
        <v>12500</v>
      </c>
      <c r="F5" s="4">
        <v>10000</v>
      </c>
      <c r="G5">
        <v>10000</v>
      </c>
      <c r="H5">
        <v>13000</v>
      </c>
      <c r="I5">
        <v>16000</v>
      </c>
      <c r="J5">
        <v>18000</v>
      </c>
      <c r="K5">
        <v>18000</v>
      </c>
      <c r="L5" s="6">
        <f t="shared" si="0"/>
        <v>13682.272727272728</v>
      </c>
      <c r="M5">
        <v>100000</v>
      </c>
      <c r="N5" s="4">
        <f t="shared" si="1"/>
        <v>50000</v>
      </c>
      <c r="O5" s="20">
        <f t="shared" si="2"/>
        <v>33333.333333333336</v>
      </c>
      <c r="P5">
        <v>6</v>
      </c>
      <c r="Q5">
        <v>7</v>
      </c>
      <c r="R5">
        <v>6</v>
      </c>
      <c r="S5">
        <v>5</v>
      </c>
      <c r="T5">
        <v>6</v>
      </c>
    </row>
    <row r="6" spans="1:20" x14ac:dyDescent="0.25">
      <c r="A6">
        <v>6</v>
      </c>
      <c r="B6" s="1">
        <v>40000</v>
      </c>
      <c r="C6">
        <v>40000</v>
      </c>
      <c r="D6" s="1">
        <v>27500</v>
      </c>
      <c r="E6">
        <v>20000</v>
      </c>
      <c r="F6" s="4">
        <v>20000</v>
      </c>
      <c r="G6">
        <v>20000</v>
      </c>
      <c r="H6">
        <v>27500</v>
      </c>
      <c r="I6">
        <v>32000</v>
      </c>
      <c r="J6">
        <v>36000</v>
      </c>
      <c r="K6">
        <v>36000</v>
      </c>
      <c r="L6" s="6">
        <f t="shared" si="0"/>
        <v>27182.363636363636</v>
      </c>
      <c r="M6">
        <v>250000</v>
      </c>
      <c r="N6" s="4">
        <f t="shared" si="1"/>
        <v>125000</v>
      </c>
      <c r="O6" s="20">
        <f t="shared" si="2"/>
        <v>83333.333333333328</v>
      </c>
      <c r="P6">
        <v>8</v>
      </c>
      <c r="Q6">
        <v>9</v>
      </c>
      <c r="R6">
        <v>7</v>
      </c>
      <c r="S6">
        <v>7</v>
      </c>
      <c r="T6">
        <v>8</v>
      </c>
    </row>
    <row r="7" spans="1:20" x14ac:dyDescent="0.25">
      <c r="A7">
        <v>7</v>
      </c>
      <c r="B7" s="1">
        <v>60000</v>
      </c>
      <c r="C7">
        <v>60000</v>
      </c>
      <c r="D7" s="1">
        <v>55000</v>
      </c>
      <c r="E7">
        <v>35000</v>
      </c>
      <c r="F7" s="4">
        <v>40000</v>
      </c>
      <c r="G7">
        <v>40000</v>
      </c>
      <c r="H7">
        <v>55000</v>
      </c>
      <c r="I7">
        <v>64000</v>
      </c>
      <c r="J7">
        <v>75000</v>
      </c>
      <c r="K7">
        <v>75000</v>
      </c>
      <c r="L7" s="6">
        <f t="shared" si="0"/>
        <v>50818.818181818184</v>
      </c>
      <c r="M7">
        <v>500000</v>
      </c>
      <c r="N7" s="4">
        <f t="shared" si="1"/>
        <v>250000</v>
      </c>
      <c r="O7" s="20">
        <f t="shared" si="2"/>
        <v>166666.66666666666</v>
      </c>
      <c r="P7">
        <v>10</v>
      </c>
      <c r="Q7">
        <v>11</v>
      </c>
      <c r="R7">
        <v>8</v>
      </c>
      <c r="S7">
        <v>9</v>
      </c>
      <c r="T7">
        <v>10</v>
      </c>
    </row>
    <row r="8" spans="1:20" x14ac:dyDescent="0.25">
      <c r="A8">
        <v>8</v>
      </c>
      <c r="B8" s="1">
        <v>90000</v>
      </c>
      <c r="C8">
        <v>90000</v>
      </c>
      <c r="D8" s="1">
        <v>110000</v>
      </c>
      <c r="E8">
        <v>60000</v>
      </c>
      <c r="F8" s="4">
        <v>70000</v>
      </c>
      <c r="G8">
        <v>70000</v>
      </c>
      <c r="H8">
        <v>110000</v>
      </c>
      <c r="I8">
        <v>125000</v>
      </c>
      <c r="J8">
        <v>150000</v>
      </c>
      <c r="K8">
        <v>150000</v>
      </c>
      <c r="L8" s="6">
        <f t="shared" si="0"/>
        <v>93182.545454545456</v>
      </c>
      <c r="M8">
        <v>1000000</v>
      </c>
      <c r="N8" s="4">
        <f t="shared" si="1"/>
        <v>500000</v>
      </c>
      <c r="O8" s="20">
        <f t="shared" si="2"/>
        <v>333333.33333333331</v>
      </c>
      <c r="P8">
        <v>11</v>
      </c>
      <c r="Q8">
        <v>12</v>
      </c>
      <c r="R8">
        <v>9</v>
      </c>
      <c r="S8">
        <v>10</v>
      </c>
      <c r="T8">
        <v>11</v>
      </c>
    </row>
    <row r="9" spans="1:20" x14ac:dyDescent="0.25">
      <c r="A9">
        <v>9</v>
      </c>
      <c r="B9" s="1">
        <v>135000</v>
      </c>
      <c r="C9">
        <v>135000</v>
      </c>
      <c r="D9" s="1">
        <v>225000</v>
      </c>
      <c r="E9">
        <v>90000</v>
      </c>
      <c r="F9" s="4">
        <v>110000</v>
      </c>
      <c r="G9">
        <v>110000</v>
      </c>
      <c r="H9">
        <v>225000</v>
      </c>
      <c r="I9">
        <v>250000</v>
      </c>
      <c r="J9">
        <v>300000</v>
      </c>
      <c r="K9">
        <v>300000</v>
      </c>
      <c r="L9" s="6">
        <f t="shared" si="0"/>
        <v>170909.90909090909</v>
      </c>
      <c r="M9">
        <v>1500000</v>
      </c>
      <c r="N9" s="4">
        <f t="shared" si="1"/>
        <v>750000</v>
      </c>
      <c r="O9" s="20">
        <f t="shared" si="2"/>
        <v>500000</v>
      </c>
      <c r="P9">
        <v>12</v>
      </c>
      <c r="Q9">
        <v>13</v>
      </c>
      <c r="R9">
        <v>10</v>
      </c>
      <c r="S9">
        <v>11</v>
      </c>
      <c r="T9">
        <v>12</v>
      </c>
    </row>
    <row r="10" spans="1:20" x14ac:dyDescent="0.25">
      <c r="A10">
        <f t="shared" ref="A10:A41" si="3">A9+1</f>
        <v>10</v>
      </c>
      <c r="B10" s="1">
        <v>250000</v>
      </c>
      <c r="C10">
        <v>250000</v>
      </c>
      <c r="D10" s="1">
        <v>450000</v>
      </c>
      <c r="E10">
        <v>125000</v>
      </c>
      <c r="F10" s="4">
        <v>160000</v>
      </c>
      <c r="G10">
        <v>160000</v>
      </c>
      <c r="H10">
        <v>450000</v>
      </c>
      <c r="I10">
        <v>500000</v>
      </c>
      <c r="J10">
        <v>600000</v>
      </c>
      <c r="K10">
        <v>600000</v>
      </c>
      <c r="L10" s="6">
        <f t="shared" si="0"/>
        <v>322273.63636363635</v>
      </c>
      <c r="M10">
        <v>2000000</v>
      </c>
      <c r="N10" s="4">
        <f t="shared" si="1"/>
        <v>1000000</v>
      </c>
      <c r="O10" s="20">
        <f t="shared" si="2"/>
        <v>666666.66666666663</v>
      </c>
      <c r="P10">
        <v>12</v>
      </c>
      <c r="Q10">
        <v>14</v>
      </c>
      <c r="R10">
        <v>10</v>
      </c>
      <c r="S10">
        <v>11</v>
      </c>
      <c r="T10">
        <v>12</v>
      </c>
    </row>
    <row r="11" spans="1:20" x14ac:dyDescent="0.25">
      <c r="A11">
        <f t="shared" si="3"/>
        <v>11</v>
      </c>
      <c r="B11" s="1">
        <v>375000</v>
      </c>
      <c r="C11">
        <v>375000</v>
      </c>
      <c r="D11" s="1">
        <v>675000</v>
      </c>
      <c r="E11">
        <v>200000</v>
      </c>
      <c r="F11" s="4">
        <v>220000</v>
      </c>
      <c r="G11">
        <v>220000</v>
      </c>
      <c r="H11">
        <v>675000</v>
      </c>
      <c r="I11">
        <v>750000</v>
      </c>
      <c r="J11">
        <v>900000</v>
      </c>
      <c r="K11">
        <v>900000</v>
      </c>
      <c r="L11" s="6">
        <f t="shared" si="0"/>
        <v>480910.09090909088</v>
      </c>
      <c r="M11">
        <v>2550000</v>
      </c>
      <c r="N11" s="4">
        <f t="shared" si="1"/>
        <v>1275000</v>
      </c>
      <c r="O11" s="20">
        <f t="shared" si="2"/>
        <v>850000</v>
      </c>
      <c r="P11">
        <v>13</v>
      </c>
      <c r="Q11">
        <v>15</v>
      </c>
      <c r="R11">
        <v>11</v>
      </c>
      <c r="S11">
        <v>12</v>
      </c>
      <c r="T11">
        <v>13</v>
      </c>
    </row>
    <row r="12" spans="1:20" x14ac:dyDescent="0.25">
      <c r="A12">
        <f t="shared" si="3"/>
        <v>12</v>
      </c>
      <c r="B12" s="1">
        <v>750000</v>
      </c>
      <c r="C12">
        <v>750000</v>
      </c>
      <c r="D12" s="1">
        <v>900000</v>
      </c>
      <c r="E12">
        <v>300000</v>
      </c>
      <c r="F12" s="4">
        <v>440000</v>
      </c>
      <c r="G12">
        <v>440000</v>
      </c>
      <c r="H12">
        <v>900000</v>
      </c>
      <c r="I12">
        <v>1000000</v>
      </c>
      <c r="J12">
        <v>1200000</v>
      </c>
      <c r="K12">
        <v>1200000</v>
      </c>
      <c r="L12" s="6">
        <f t="shared" si="0"/>
        <v>716364.72727272729</v>
      </c>
      <c r="M12">
        <v>3000000</v>
      </c>
      <c r="N12" s="4">
        <f t="shared" si="1"/>
        <v>1500000</v>
      </c>
      <c r="O12" s="20">
        <f t="shared" si="2"/>
        <v>1000000</v>
      </c>
      <c r="P12">
        <v>14</v>
      </c>
      <c r="Q12">
        <v>16</v>
      </c>
      <c r="R12">
        <v>12</v>
      </c>
      <c r="S12">
        <v>12</v>
      </c>
      <c r="T12">
        <v>14</v>
      </c>
    </row>
    <row r="13" spans="1:20" x14ac:dyDescent="0.25">
      <c r="A13">
        <f t="shared" si="3"/>
        <v>13</v>
      </c>
      <c r="B13" s="1">
        <v>1125000</v>
      </c>
      <c r="C13">
        <v>1125000</v>
      </c>
      <c r="D13" s="1">
        <v>1125000</v>
      </c>
      <c r="E13">
        <v>750000</v>
      </c>
      <c r="F13" s="4">
        <v>660000</v>
      </c>
      <c r="G13">
        <v>660000</v>
      </c>
      <c r="H13">
        <v>1125000</v>
      </c>
      <c r="I13">
        <v>1250000</v>
      </c>
      <c r="J13">
        <v>1500000</v>
      </c>
      <c r="K13">
        <v>1500000</v>
      </c>
      <c r="L13" s="6">
        <f t="shared" si="0"/>
        <v>983637.54545454541</v>
      </c>
      <c r="M13">
        <v>3500000</v>
      </c>
      <c r="N13" s="4">
        <f t="shared" si="1"/>
        <v>1750000</v>
      </c>
      <c r="O13" s="20">
        <f t="shared" si="2"/>
        <v>1166666.6666666667</v>
      </c>
      <c r="P13">
        <v>14</v>
      </c>
      <c r="Q13">
        <v>17</v>
      </c>
      <c r="R13">
        <v>13</v>
      </c>
      <c r="S13">
        <v>13</v>
      </c>
      <c r="T13">
        <v>15</v>
      </c>
    </row>
    <row r="14" spans="1:20" x14ac:dyDescent="0.25">
      <c r="A14">
        <f t="shared" si="3"/>
        <v>14</v>
      </c>
      <c r="B14" s="1">
        <v>1500000</v>
      </c>
      <c r="C14">
        <v>1500000</v>
      </c>
      <c r="D14" s="1">
        <v>1350000</v>
      </c>
      <c r="E14">
        <v>1500000</v>
      </c>
      <c r="F14" s="4">
        <v>880000</v>
      </c>
      <c r="G14">
        <v>880000</v>
      </c>
      <c r="H14">
        <v>1350000</v>
      </c>
      <c r="I14">
        <v>1500000</v>
      </c>
      <c r="J14">
        <v>1800000</v>
      </c>
      <c r="K14">
        <v>1800000</v>
      </c>
      <c r="L14" s="6">
        <f t="shared" si="0"/>
        <v>1278183.0909090908</v>
      </c>
      <c r="M14">
        <v>4000000</v>
      </c>
      <c r="N14" s="4">
        <f t="shared" si="1"/>
        <v>2000000</v>
      </c>
      <c r="O14" s="20">
        <f t="shared" si="2"/>
        <v>1333333.3333333333</v>
      </c>
      <c r="P14">
        <v>15</v>
      </c>
      <c r="Q14">
        <v>19</v>
      </c>
      <c r="R14">
        <v>13</v>
      </c>
      <c r="S14">
        <v>13</v>
      </c>
      <c r="T14">
        <v>16</v>
      </c>
    </row>
    <row r="15" spans="1:20" x14ac:dyDescent="0.25">
      <c r="A15">
        <f t="shared" si="3"/>
        <v>15</v>
      </c>
      <c r="B15" s="1">
        <v>1875000</v>
      </c>
      <c r="C15">
        <v>1875000</v>
      </c>
      <c r="D15" s="1">
        <v>1575000</v>
      </c>
      <c r="E15" s="2">
        <v>3000000</v>
      </c>
      <c r="F15" s="4">
        <v>1100000</v>
      </c>
      <c r="G15">
        <v>1100000</v>
      </c>
      <c r="H15">
        <v>1575000</v>
      </c>
      <c r="I15">
        <v>1750000</v>
      </c>
      <c r="J15">
        <v>2100000</v>
      </c>
      <c r="K15">
        <v>2100000</v>
      </c>
      <c r="L15" s="6">
        <f t="shared" si="0"/>
        <v>1640910.4545454546</v>
      </c>
      <c r="M15">
        <v>4500000</v>
      </c>
      <c r="N15" s="4">
        <f t="shared" si="1"/>
        <v>2250000</v>
      </c>
      <c r="O15" s="20">
        <f t="shared" si="2"/>
        <v>1500000</v>
      </c>
      <c r="P15">
        <v>16</v>
      </c>
      <c r="Q15">
        <v>20</v>
      </c>
      <c r="R15">
        <v>14</v>
      </c>
      <c r="S15">
        <v>14</v>
      </c>
      <c r="T15">
        <v>16</v>
      </c>
    </row>
    <row r="16" spans="1:20" x14ac:dyDescent="0.25">
      <c r="A16">
        <f t="shared" si="3"/>
        <v>16</v>
      </c>
      <c r="B16" s="1">
        <v>2250000</v>
      </c>
      <c r="C16">
        <v>2250000</v>
      </c>
      <c r="D16" s="1">
        <v>1800000</v>
      </c>
      <c r="F16" s="4">
        <v>1320000</v>
      </c>
      <c r="G16">
        <v>1320000</v>
      </c>
      <c r="H16">
        <v>1800000</v>
      </c>
      <c r="I16">
        <v>2000000</v>
      </c>
      <c r="J16">
        <v>2400000</v>
      </c>
      <c r="K16">
        <v>2400000</v>
      </c>
      <c r="L16" s="6">
        <f t="shared" si="0"/>
        <v>1754001.6</v>
      </c>
      <c r="M16">
        <v>5000000</v>
      </c>
      <c r="N16" s="4">
        <f t="shared" si="1"/>
        <v>2500000</v>
      </c>
      <c r="O16" s="20">
        <f t="shared" si="2"/>
        <v>1666666.6666666667</v>
      </c>
      <c r="P16">
        <v>16</v>
      </c>
      <c r="Q16">
        <v>21</v>
      </c>
      <c r="R16">
        <v>15</v>
      </c>
      <c r="S16">
        <v>14</v>
      </c>
      <c r="T16">
        <v>17</v>
      </c>
    </row>
    <row r="17" spans="1:20" x14ac:dyDescent="0.25">
      <c r="A17">
        <f t="shared" si="3"/>
        <v>17</v>
      </c>
      <c r="B17" s="1">
        <v>2625000</v>
      </c>
      <c r="C17">
        <v>2625000</v>
      </c>
      <c r="D17" s="1">
        <v>2025000</v>
      </c>
      <c r="F17" s="4">
        <v>1540000</v>
      </c>
      <c r="G17">
        <v>1540000</v>
      </c>
      <c r="H17">
        <v>2025000</v>
      </c>
      <c r="I17">
        <v>2250000</v>
      </c>
      <c r="J17">
        <v>2700000</v>
      </c>
      <c r="K17">
        <v>2700000</v>
      </c>
      <c r="L17" s="6">
        <f t="shared" si="0"/>
        <v>2003001.7</v>
      </c>
      <c r="M17">
        <v>5500000</v>
      </c>
      <c r="N17" s="4">
        <f t="shared" si="1"/>
        <v>2750000</v>
      </c>
      <c r="O17" s="20">
        <f t="shared" si="2"/>
        <v>1833333.3333333333</v>
      </c>
      <c r="P17">
        <v>17</v>
      </c>
      <c r="Q17">
        <v>22</v>
      </c>
      <c r="R17">
        <v>16</v>
      </c>
      <c r="S17">
        <v>14</v>
      </c>
      <c r="T17">
        <v>18</v>
      </c>
    </row>
    <row r="18" spans="1:20" x14ac:dyDescent="0.25">
      <c r="A18">
        <f t="shared" si="3"/>
        <v>18</v>
      </c>
      <c r="B18" s="2">
        <v>3000000</v>
      </c>
      <c r="C18" s="2">
        <v>3000000</v>
      </c>
      <c r="D18" s="1">
        <v>2250000</v>
      </c>
      <c r="F18" s="4">
        <v>1760000</v>
      </c>
      <c r="G18">
        <v>1760000</v>
      </c>
      <c r="H18">
        <v>2250000</v>
      </c>
      <c r="I18">
        <v>2500000</v>
      </c>
      <c r="J18" s="2">
        <v>3000000</v>
      </c>
      <c r="K18" s="2">
        <v>3000000</v>
      </c>
      <c r="L18" s="6">
        <f t="shared" si="0"/>
        <v>2252001.7999999998</v>
      </c>
      <c r="M18">
        <v>6000000</v>
      </c>
      <c r="N18" s="4">
        <f t="shared" si="1"/>
        <v>3000000</v>
      </c>
      <c r="O18" s="20">
        <f t="shared" si="2"/>
        <v>2000000</v>
      </c>
      <c r="P18">
        <v>18</v>
      </c>
      <c r="Q18">
        <v>23</v>
      </c>
      <c r="R18">
        <v>16</v>
      </c>
      <c r="S18">
        <v>15</v>
      </c>
      <c r="T18">
        <v>19</v>
      </c>
    </row>
    <row r="19" spans="1:20" x14ac:dyDescent="0.25">
      <c r="A19">
        <f t="shared" si="3"/>
        <v>19</v>
      </c>
      <c r="B19" s="1">
        <v>3375000</v>
      </c>
      <c r="C19">
        <v>3375000</v>
      </c>
      <c r="D19" s="1">
        <v>2475000</v>
      </c>
      <c r="F19" s="4">
        <v>1980000</v>
      </c>
      <c r="G19">
        <v>1980000</v>
      </c>
      <c r="H19">
        <v>2475000</v>
      </c>
      <c r="I19">
        <v>2750000</v>
      </c>
      <c r="L19" s="6">
        <f t="shared" si="0"/>
        <v>2301252.375</v>
      </c>
      <c r="M19">
        <v>6500000</v>
      </c>
      <c r="N19" s="4">
        <f t="shared" si="1"/>
        <v>3250000</v>
      </c>
      <c r="O19" s="20">
        <f t="shared" si="2"/>
        <v>2166666.6666666665</v>
      </c>
      <c r="P19">
        <v>18</v>
      </c>
      <c r="Q19">
        <v>24</v>
      </c>
      <c r="R19">
        <v>17</v>
      </c>
      <c r="S19">
        <v>15</v>
      </c>
      <c r="T19">
        <v>19</v>
      </c>
    </row>
    <row r="20" spans="1:20" x14ac:dyDescent="0.25">
      <c r="A20">
        <f t="shared" si="3"/>
        <v>20</v>
      </c>
      <c r="B20" s="1">
        <v>3750000</v>
      </c>
      <c r="C20">
        <v>3750000</v>
      </c>
      <c r="D20" s="1">
        <v>2700000</v>
      </c>
      <c r="F20" s="4">
        <v>2200000</v>
      </c>
      <c r="G20">
        <v>2200000</v>
      </c>
      <c r="H20">
        <v>2700000</v>
      </c>
      <c r="I20" s="2">
        <v>3000000</v>
      </c>
      <c r="L20" s="6">
        <f t="shared" si="0"/>
        <v>2537502.5</v>
      </c>
      <c r="M20">
        <v>7000000</v>
      </c>
      <c r="N20" s="4">
        <f t="shared" si="1"/>
        <v>3500000</v>
      </c>
      <c r="O20" s="20">
        <f t="shared" si="2"/>
        <v>2333333.3333333335</v>
      </c>
      <c r="P20">
        <v>19</v>
      </c>
      <c r="Q20">
        <v>15</v>
      </c>
      <c r="R20">
        <v>18</v>
      </c>
      <c r="S20">
        <v>16</v>
      </c>
      <c r="T20">
        <v>20</v>
      </c>
    </row>
    <row r="21" spans="1:20" x14ac:dyDescent="0.25">
      <c r="A21">
        <f t="shared" si="3"/>
        <v>21</v>
      </c>
      <c r="B21" s="1">
        <v>4125000</v>
      </c>
      <c r="C21">
        <v>4125000</v>
      </c>
      <c r="D21" s="1">
        <v>2925000</v>
      </c>
      <c r="F21" s="4">
        <v>2420000</v>
      </c>
      <c r="G21">
        <v>2420000</v>
      </c>
      <c r="H21">
        <v>2925000</v>
      </c>
      <c r="I21">
        <v>3250000</v>
      </c>
      <c r="L21" s="6">
        <f t="shared" si="0"/>
        <v>2773752.625</v>
      </c>
      <c r="M21">
        <v>7500000</v>
      </c>
      <c r="N21" s="4">
        <f t="shared" si="1"/>
        <v>3750000</v>
      </c>
      <c r="O21" s="20">
        <f t="shared" si="2"/>
        <v>2500000</v>
      </c>
      <c r="P21">
        <v>20</v>
      </c>
      <c r="Q21">
        <v>27</v>
      </c>
      <c r="R21">
        <v>19</v>
      </c>
      <c r="S21">
        <v>16</v>
      </c>
      <c r="T21">
        <v>21</v>
      </c>
    </row>
    <row r="22" spans="1:20" x14ac:dyDescent="0.25">
      <c r="A22">
        <f t="shared" si="3"/>
        <v>22</v>
      </c>
      <c r="B22" s="1">
        <v>4500000</v>
      </c>
      <c r="C22">
        <v>4500000</v>
      </c>
      <c r="D22" s="2">
        <v>3150000</v>
      </c>
      <c r="F22" s="4">
        <v>2640000</v>
      </c>
      <c r="G22">
        <v>2640000</v>
      </c>
      <c r="H22" s="2">
        <v>3150000</v>
      </c>
      <c r="L22" s="6">
        <f t="shared" si="0"/>
        <v>2940003.1428571427</v>
      </c>
      <c r="M22">
        <v>8000000</v>
      </c>
      <c r="N22" s="4">
        <f t="shared" si="1"/>
        <v>4000000</v>
      </c>
      <c r="O22" s="20">
        <f t="shared" si="2"/>
        <v>2666666.6666666665</v>
      </c>
      <c r="P22">
        <v>20</v>
      </c>
      <c r="Q22">
        <v>28</v>
      </c>
      <c r="R22">
        <v>19</v>
      </c>
      <c r="S22">
        <v>17</v>
      </c>
      <c r="T22">
        <v>22</v>
      </c>
    </row>
    <row r="23" spans="1:20" x14ac:dyDescent="0.25">
      <c r="A23">
        <f t="shared" si="3"/>
        <v>23</v>
      </c>
      <c r="B23" s="1">
        <v>4875000</v>
      </c>
      <c r="C23">
        <v>4875000</v>
      </c>
      <c r="F23" s="4">
        <v>2860000</v>
      </c>
      <c r="G23">
        <v>2860000</v>
      </c>
      <c r="L23">
        <f t="shared" si="0"/>
        <v>3094004.6</v>
      </c>
    </row>
    <row r="24" spans="1:20" x14ac:dyDescent="0.25">
      <c r="A24">
        <f t="shared" si="3"/>
        <v>24</v>
      </c>
      <c r="B24" s="1">
        <v>5250000</v>
      </c>
      <c r="C24">
        <v>5250000</v>
      </c>
      <c r="F24" s="19">
        <v>3080000</v>
      </c>
      <c r="G24" s="2">
        <v>3080000</v>
      </c>
      <c r="L24">
        <f t="shared" si="0"/>
        <v>3332004.8</v>
      </c>
      <c r="N24" s="4">
        <f>M2/N2</f>
        <v>2</v>
      </c>
      <c r="O24" s="20">
        <f>M2/O2</f>
        <v>3</v>
      </c>
    </row>
    <row r="25" spans="1:20" x14ac:dyDescent="0.25">
      <c r="A25">
        <f t="shared" si="3"/>
        <v>25</v>
      </c>
      <c r="B25" s="1">
        <v>5625000</v>
      </c>
      <c r="C25">
        <v>5625000</v>
      </c>
      <c r="L25">
        <f t="shared" si="0"/>
        <v>3750008.3333333335</v>
      </c>
      <c r="O25">
        <f>N24/O24</f>
        <v>0.66666666666666663</v>
      </c>
    </row>
    <row r="26" spans="1:20" x14ac:dyDescent="0.25">
      <c r="A26">
        <f t="shared" si="3"/>
        <v>26</v>
      </c>
      <c r="B26">
        <v>6000000</v>
      </c>
      <c r="C26">
        <v>6000000</v>
      </c>
      <c r="L26">
        <f t="shared" si="0"/>
        <v>4000008.6666666665</v>
      </c>
    </row>
    <row r="27" spans="1:20" x14ac:dyDescent="0.25">
      <c r="A27">
        <f t="shared" si="3"/>
        <v>27</v>
      </c>
      <c r="B27">
        <v>6375000</v>
      </c>
      <c r="C27">
        <v>6375000</v>
      </c>
      <c r="L27">
        <f t="shared" si="0"/>
        <v>4250009</v>
      </c>
    </row>
    <row r="28" spans="1:20" x14ac:dyDescent="0.25">
      <c r="A28">
        <f t="shared" si="3"/>
        <v>28</v>
      </c>
      <c r="B28">
        <v>6750000</v>
      </c>
      <c r="C28">
        <v>6750000</v>
      </c>
      <c r="L28">
        <f t="shared" si="0"/>
        <v>4500009.333333333</v>
      </c>
    </row>
    <row r="29" spans="1:20" x14ac:dyDescent="0.25">
      <c r="A29">
        <f t="shared" si="3"/>
        <v>29</v>
      </c>
      <c r="B29">
        <v>7125000</v>
      </c>
      <c r="C29">
        <v>7125000</v>
      </c>
      <c r="L29">
        <f t="shared" si="0"/>
        <v>4750009.666666667</v>
      </c>
    </row>
    <row r="30" spans="1:20" x14ac:dyDescent="0.25">
      <c r="A30">
        <f t="shared" si="3"/>
        <v>30</v>
      </c>
      <c r="B30">
        <v>7500000</v>
      </c>
      <c r="C30">
        <v>7500000</v>
      </c>
      <c r="L30">
        <f t="shared" si="0"/>
        <v>5000010</v>
      </c>
    </row>
    <row r="31" spans="1:20" x14ac:dyDescent="0.25">
      <c r="A31">
        <f t="shared" si="3"/>
        <v>31</v>
      </c>
      <c r="B31">
        <v>7875000</v>
      </c>
      <c r="C31">
        <v>7875000</v>
      </c>
      <c r="L31">
        <f t="shared" si="0"/>
        <v>5250010.333333333</v>
      </c>
    </row>
    <row r="32" spans="1:20" x14ac:dyDescent="0.25">
      <c r="A32">
        <f t="shared" si="3"/>
        <v>32</v>
      </c>
      <c r="B32">
        <v>8250000</v>
      </c>
      <c r="C32">
        <v>8250000</v>
      </c>
      <c r="L32">
        <f t="shared" si="0"/>
        <v>5500010.666666667</v>
      </c>
    </row>
    <row r="33" spans="1:12" x14ac:dyDescent="0.25">
      <c r="A33">
        <f t="shared" si="3"/>
        <v>33</v>
      </c>
      <c r="B33">
        <v>8625000</v>
      </c>
      <c r="C33">
        <v>8625000</v>
      </c>
      <c r="L33">
        <f t="shared" si="0"/>
        <v>5750011</v>
      </c>
    </row>
    <row r="34" spans="1:12" x14ac:dyDescent="0.25">
      <c r="A34">
        <f t="shared" si="3"/>
        <v>34</v>
      </c>
      <c r="B34">
        <v>9000000</v>
      </c>
      <c r="C34">
        <v>9000000</v>
      </c>
      <c r="L34">
        <f t="shared" si="0"/>
        <v>6000011.333333333</v>
      </c>
    </row>
    <row r="35" spans="1:12" x14ac:dyDescent="0.25">
      <c r="A35">
        <f t="shared" si="3"/>
        <v>35</v>
      </c>
      <c r="B35">
        <v>9375000</v>
      </c>
      <c r="C35">
        <v>9375000</v>
      </c>
      <c r="L35">
        <f t="shared" si="0"/>
        <v>6250011.666666667</v>
      </c>
    </row>
    <row r="36" spans="1:12" x14ac:dyDescent="0.25">
      <c r="A36">
        <f t="shared" si="3"/>
        <v>36</v>
      </c>
      <c r="B36">
        <v>9750000</v>
      </c>
      <c r="C36">
        <v>9750000</v>
      </c>
      <c r="L36">
        <f t="shared" si="0"/>
        <v>6500012</v>
      </c>
    </row>
    <row r="37" spans="1:12" x14ac:dyDescent="0.25">
      <c r="A37">
        <f t="shared" si="3"/>
        <v>37</v>
      </c>
      <c r="B37">
        <v>10125000</v>
      </c>
      <c r="C37">
        <v>10125000</v>
      </c>
      <c r="L37">
        <f t="shared" si="0"/>
        <v>6750012.333333333</v>
      </c>
    </row>
    <row r="38" spans="1:12" x14ac:dyDescent="0.25">
      <c r="A38">
        <f t="shared" si="3"/>
        <v>38</v>
      </c>
      <c r="B38">
        <v>10500000</v>
      </c>
      <c r="C38">
        <v>10500000</v>
      </c>
      <c r="L38">
        <f t="shared" si="0"/>
        <v>7000012.666666667</v>
      </c>
    </row>
    <row r="39" spans="1:12" x14ac:dyDescent="0.25">
      <c r="A39">
        <f t="shared" si="3"/>
        <v>39</v>
      </c>
      <c r="B39">
        <v>10875000</v>
      </c>
      <c r="C39">
        <v>10875000</v>
      </c>
      <c r="L39">
        <f t="shared" si="0"/>
        <v>7250013</v>
      </c>
    </row>
    <row r="40" spans="1:12" x14ac:dyDescent="0.25">
      <c r="A40">
        <f t="shared" si="3"/>
        <v>40</v>
      </c>
      <c r="B40">
        <v>11250000</v>
      </c>
      <c r="C40">
        <v>11250000</v>
      </c>
      <c r="L40">
        <f t="shared" si="0"/>
        <v>7500013.333333333</v>
      </c>
    </row>
    <row r="41" spans="1:12" x14ac:dyDescent="0.25">
      <c r="A41">
        <f t="shared" si="3"/>
        <v>41</v>
      </c>
      <c r="B41">
        <v>13000000</v>
      </c>
      <c r="C41">
        <v>13000000</v>
      </c>
      <c r="L41">
        <f t="shared" si="0"/>
        <v>8666680.333333334</v>
      </c>
    </row>
    <row r="43" spans="1:12" x14ac:dyDescent="0.25">
      <c r="A43" t="s">
        <v>139</v>
      </c>
    </row>
    <row r="44" spans="1:12" x14ac:dyDescent="0.25">
      <c r="A44" t="s">
        <v>138</v>
      </c>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2:Y172"/>
  <sheetViews>
    <sheetView topLeftCell="A148" workbookViewId="0">
      <selection activeCell="A16" sqref="A16"/>
    </sheetView>
  </sheetViews>
  <sheetFormatPr defaultRowHeight="15" x14ac:dyDescent="0.25"/>
  <cols>
    <col min="8" max="8" width="9.140625" customWidth="1"/>
  </cols>
  <sheetData>
    <row r="2" spans="1:20" x14ac:dyDescent="0.25">
      <c r="B2" t="s">
        <v>1154</v>
      </c>
      <c r="J2" t="s">
        <v>1171</v>
      </c>
      <c r="P2" t="s">
        <v>1172</v>
      </c>
    </row>
    <row r="3" spans="1:20" x14ac:dyDescent="0.25">
      <c r="D3" t="s">
        <v>800</v>
      </c>
      <c r="E3" t="s">
        <v>801</v>
      </c>
      <c r="F3" t="s">
        <v>804</v>
      </c>
      <c r="G3" t="s">
        <v>1125</v>
      </c>
      <c r="H3" t="s">
        <v>1155</v>
      </c>
      <c r="J3" t="s">
        <v>800</v>
      </c>
      <c r="K3" t="s">
        <v>801</v>
      </c>
      <c r="L3" t="s">
        <v>804</v>
      </c>
      <c r="M3" t="s">
        <v>1125</v>
      </c>
      <c r="N3" t="s">
        <v>1155</v>
      </c>
      <c r="P3" t="s">
        <v>800</v>
      </c>
      <c r="Q3" t="s">
        <v>801</v>
      </c>
      <c r="R3" t="s">
        <v>804</v>
      </c>
      <c r="S3" t="s">
        <v>1125</v>
      </c>
      <c r="T3" t="s">
        <v>1155</v>
      </c>
    </row>
    <row r="4" spans="1:20" x14ac:dyDescent="0.25">
      <c r="A4" t="s">
        <v>1156</v>
      </c>
      <c r="D4">
        <v>1</v>
      </c>
      <c r="E4">
        <v>1</v>
      </c>
      <c r="F4">
        <v>1</v>
      </c>
      <c r="G4">
        <v>1</v>
      </c>
      <c r="H4">
        <v>1</v>
      </c>
      <c r="I4" t="s">
        <v>1175</v>
      </c>
      <c r="J4">
        <v>1</v>
      </c>
      <c r="K4">
        <v>1</v>
      </c>
      <c r="L4">
        <v>1</v>
      </c>
      <c r="M4">
        <v>1</v>
      </c>
      <c r="N4">
        <v>1</v>
      </c>
      <c r="O4" t="s">
        <v>1175</v>
      </c>
      <c r="P4">
        <v>1</v>
      </c>
      <c r="Q4">
        <v>1</v>
      </c>
      <c r="R4">
        <v>1</v>
      </c>
      <c r="S4">
        <v>1</v>
      </c>
      <c r="T4">
        <v>1</v>
      </c>
    </row>
    <row r="5" spans="1:20" x14ac:dyDescent="0.25">
      <c r="A5" t="s">
        <v>1157</v>
      </c>
      <c r="E5">
        <v>2</v>
      </c>
      <c r="F5">
        <v>2</v>
      </c>
      <c r="G5">
        <v>2</v>
      </c>
      <c r="K5">
        <v>2</v>
      </c>
      <c r="L5">
        <v>2</v>
      </c>
      <c r="M5">
        <v>2</v>
      </c>
    </row>
    <row r="6" spans="1:20" x14ac:dyDescent="0.25">
      <c r="A6" t="s">
        <v>1158</v>
      </c>
      <c r="D6">
        <v>1</v>
      </c>
      <c r="E6">
        <v>1</v>
      </c>
      <c r="F6">
        <v>1</v>
      </c>
      <c r="G6">
        <v>1</v>
      </c>
      <c r="H6">
        <v>1</v>
      </c>
    </row>
    <row r="7" spans="1:20" x14ac:dyDescent="0.25">
      <c r="A7" t="s">
        <v>1159</v>
      </c>
      <c r="D7">
        <v>2</v>
      </c>
      <c r="E7">
        <v>2</v>
      </c>
      <c r="F7">
        <v>2</v>
      </c>
      <c r="G7">
        <v>2</v>
      </c>
      <c r="H7">
        <v>2</v>
      </c>
      <c r="O7" t="s">
        <v>1159</v>
      </c>
      <c r="P7">
        <v>2</v>
      </c>
      <c r="Q7">
        <v>2</v>
      </c>
      <c r="R7">
        <v>2</v>
      </c>
      <c r="S7">
        <v>2</v>
      </c>
      <c r="T7">
        <v>2</v>
      </c>
    </row>
    <row r="8" spans="1:20" x14ac:dyDescent="0.25">
      <c r="A8" t="s">
        <v>1160</v>
      </c>
      <c r="D8">
        <v>1</v>
      </c>
      <c r="E8">
        <v>1</v>
      </c>
      <c r="F8">
        <v>1</v>
      </c>
      <c r="G8">
        <v>1</v>
      </c>
      <c r="H8">
        <v>1</v>
      </c>
    </row>
    <row r="9" spans="1:20" x14ac:dyDescent="0.25">
      <c r="A9" t="s">
        <v>1161</v>
      </c>
      <c r="D9">
        <v>1</v>
      </c>
      <c r="E9">
        <v>1</v>
      </c>
      <c r="F9">
        <v>1</v>
      </c>
      <c r="G9">
        <v>1</v>
      </c>
      <c r="H9">
        <v>1</v>
      </c>
    </row>
    <row r="10" spans="1:20" x14ac:dyDescent="0.25">
      <c r="A10" t="s">
        <v>1162</v>
      </c>
      <c r="D10">
        <v>2</v>
      </c>
      <c r="E10">
        <v>2</v>
      </c>
      <c r="F10">
        <v>2</v>
      </c>
      <c r="G10">
        <v>2</v>
      </c>
      <c r="H10">
        <v>2</v>
      </c>
    </row>
    <row r="11" spans="1:20" x14ac:dyDescent="0.25">
      <c r="A11" t="s">
        <v>1163</v>
      </c>
      <c r="D11">
        <v>2</v>
      </c>
      <c r="E11">
        <v>2</v>
      </c>
      <c r="F11">
        <v>2</v>
      </c>
      <c r="G11">
        <v>2</v>
      </c>
      <c r="H11">
        <v>2</v>
      </c>
      <c r="I11" t="s">
        <v>1174</v>
      </c>
      <c r="J11">
        <v>2</v>
      </c>
      <c r="K11">
        <v>2</v>
      </c>
      <c r="L11">
        <v>2</v>
      </c>
      <c r="M11">
        <v>2</v>
      </c>
      <c r="N11">
        <v>2</v>
      </c>
      <c r="O11" t="s">
        <v>1174</v>
      </c>
      <c r="P11">
        <v>2</v>
      </c>
      <c r="Q11">
        <v>2</v>
      </c>
      <c r="R11">
        <v>2</v>
      </c>
      <c r="S11">
        <v>2</v>
      </c>
      <c r="T11">
        <v>2</v>
      </c>
    </row>
    <row r="12" spans="1:20" x14ac:dyDescent="0.25">
      <c r="A12" t="s">
        <v>1052</v>
      </c>
      <c r="D12">
        <v>1</v>
      </c>
      <c r="E12">
        <v>1</v>
      </c>
      <c r="F12">
        <v>1</v>
      </c>
      <c r="G12">
        <v>1</v>
      </c>
      <c r="H12">
        <v>1</v>
      </c>
    </row>
    <row r="13" spans="1:20" x14ac:dyDescent="0.25">
      <c r="A13" t="s">
        <v>1164</v>
      </c>
      <c r="D13">
        <v>4</v>
      </c>
      <c r="E13">
        <v>4</v>
      </c>
      <c r="F13">
        <v>4</v>
      </c>
      <c r="G13">
        <v>4</v>
      </c>
      <c r="H13">
        <v>4</v>
      </c>
      <c r="I13" t="s">
        <v>1164</v>
      </c>
      <c r="J13">
        <v>4</v>
      </c>
      <c r="K13">
        <v>4</v>
      </c>
      <c r="L13">
        <v>4</v>
      </c>
      <c r="M13">
        <v>4</v>
      </c>
      <c r="N13">
        <v>4</v>
      </c>
    </row>
    <row r="14" spans="1:20" x14ac:dyDescent="0.25">
      <c r="A14" t="s">
        <v>1165</v>
      </c>
      <c r="E14">
        <v>3</v>
      </c>
    </row>
    <row r="15" spans="1:20" x14ac:dyDescent="0.25">
      <c r="A15" t="s">
        <v>1166</v>
      </c>
      <c r="D15">
        <v>2</v>
      </c>
    </row>
    <row r="16" spans="1:20" x14ac:dyDescent="0.25">
      <c r="A16" t="s">
        <v>1167</v>
      </c>
      <c r="E16">
        <v>3</v>
      </c>
      <c r="I16" t="s">
        <v>1176</v>
      </c>
      <c r="J16">
        <v>2</v>
      </c>
      <c r="O16" t="s">
        <v>1176</v>
      </c>
      <c r="P16">
        <v>2</v>
      </c>
    </row>
    <row r="17" spans="1:20" x14ac:dyDescent="0.25">
      <c r="A17" t="s">
        <v>1168</v>
      </c>
      <c r="H17">
        <v>5</v>
      </c>
    </row>
    <row r="18" spans="1:20" x14ac:dyDescent="0.25">
      <c r="A18" t="s">
        <v>1169</v>
      </c>
      <c r="F18">
        <v>5</v>
      </c>
      <c r="I18" t="s">
        <v>1177</v>
      </c>
      <c r="L18">
        <v>5</v>
      </c>
      <c r="O18" t="s">
        <v>1177</v>
      </c>
      <c r="R18">
        <v>5</v>
      </c>
    </row>
    <row r="19" spans="1:20" x14ac:dyDescent="0.25">
      <c r="A19" t="s">
        <v>1170</v>
      </c>
      <c r="E19">
        <v>4</v>
      </c>
      <c r="I19" t="s">
        <v>1178</v>
      </c>
      <c r="K19">
        <v>4</v>
      </c>
      <c r="O19" t="s">
        <v>1178</v>
      </c>
      <c r="Q19">
        <v>4</v>
      </c>
    </row>
    <row r="20" spans="1:20" x14ac:dyDescent="0.25">
      <c r="A20" t="s">
        <v>1181</v>
      </c>
      <c r="D20">
        <v>5</v>
      </c>
      <c r="E20">
        <v>5</v>
      </c>
      <c r="G20">
        <v>5</v>
      </c>
      <c r="J20">
        <f>SUM(J4:J19)</f>
        <v>9</v>
      </c>
      <c r="K20">
        <f>SUM(K4:K19)</f>
        <v>13</v>
      </c>
      <c r="L20">
        <f>SUM(L4:L19)</f>
        <v>14</v>
      </c>
      <c r="M20">
        <f>SUM(M4:M19)</f>
        <v>9</v>
      </c>
      <c r="N20">
        <f>SUM(N4:N19)</f>
        <v>7</v>
      </c>
      <c r="P20">
        <f>SUM(P4:P19)</f>
        <v>7</v>
      </c>
      <c r="Q20">
        <f>SUM(Q4:Q19)</f>
        <v>9</v>
      </c>
      <c r="R20">
        <f>SUM(R4:R19)</f>
        <v>10</v>
      </c>
      <c r="S20">
        <f>SUM(S4:S19)</f>
        <v>5</v>
      </c>
      <c r="T20">
        <f>SUM(T4:T19)</f>
        <v>5</v>
      </c>
    </row>
    <row r="21" spans="1:20" x14ac:dyDescent="0.25">
      <c r="A21" t="s">
        <v>1182</v>
      </c>
      <c r="D21">
        <v>5</v>
      </c>
      <c r="E21">
        <v>5</v>
      </c>
      <c r="G21">
        <v>5</v>
      </c>
      <c r="J21" t="s">
        <v>1173</v>
      </c>
    </row>
    <row r="22" spans="1:20" x14ac:dyDescent="0.25">
      <c r="A22" t="s">
        <v>1183</v>
      </c>
      <c r="D22">
        <v>5</v>
      </c>
      <c r="G22">
        <v>5</v>
      </c>
      <c r="J22" t="s">
        <v>1179</v>
      </c>
    </row>
    <row r="23" spans="1:20" x14ac:dyDescent="0.25">
      <c r="B23" t="s">
        <v>119</v>
      </c>
      <c r="I23" t="s">
        <v>125</v>
      </c>
      <c r="O23" t="s">
        <v>123</v>
      </c>
    </row>
    <row r="24" spans="1:20" x14ac:dyDescent="0.25">
      <c r="C24" t="s">
        <v>800</v>
      </c>
      <c r="D24" t="s">
        <v>801</v>
      </c>
      <c r="E24" t="s">
        <v>804</v>
      </c>
      <c r="F24" t="s">
        <v>1125</v>
      </c>
      <c r="G24" t="s">
        <v>1155</v>
      </c>
      <c r="J24" t="s">
        <v>800</v>
      </c>
      <c r="K24" t="s">
        <v>801</v>
      </c>
      <c r="L24" t="s">
        <v>804</v>
      </c>
      <c r="M24" t="s">
        <v>1125</v>
      </c>
      <c r="N24" t="s">
        <v>1155</v>
      </c>
      <c r="P24" t="s">
        <v>800</v>
      </c>
      <c r="Q24" t="s">
        <v>801</v>
      </c>
      <c r="R24" t="s">
        <v>804</v>
      </c>
      <c r="S24" t="s">
        <v>1125</v>
      </c>
      <c r="T24" t="s">
        <v>1155</v>
      </c>
    </row>
    <row r="25" spans="1:20" x14ac:dyDescent="0.25">
      <c r="C25">
        <v>6</v>
      </c>
      <c r="D25">
        <v>10</v>
      </c>
      <c r="E25">
        <v>9</v>
      </c>
      <c r="F25">
        <v>5</v>
      </c>
      <c r="G25">
        <v>7</v>
      </c>
      <c r="J25">
        <v>7</v>
      </c>
      <c r="K25">
        <v>9</v>
      </c>
      <c r="L25">
        <v>12</v>
      </c>
      <c r="M25">
        <v>9</v>
      </c>
      <c r="N25">
        <v>8</v>
      </c>
      <c r="P25">
        <v>7</v>
      </c>
      <c r="Q25">
        <v>2</v>
      </c>
      <c r="R25">
        <v>8</v>
      </c>
      <c r="S25">
        <v>6</v>
      </c>
      <c r="T25">
        <v>5</v>
      </c>
    </row>
    <row r="27" spans="1:20" x14ac:dyDescent="0.25">
      <c r="B27" t="s">
        <v>120</v>
      </c>
      <c r="I27" t="s">
        <v>128</v>
      </c>
    </row>
    <row r="28" spans="1:20" x14ac:dyDescent="0.25">
      <c r="C28" t="s">
        <v>800</v>
      </c>
      <c r="D28" t="s">
        <v>801</v>
      </c>
      <c r="E28" t="s">
        <v>804</v>
      </c>
      <c r="F28" t="s">
        <v>1125</v>
      </c>
      <c r="G28" t="s">
        <v>1155</v>
      </c>
      <c r="J28" t="s">
        <v>800</v>
      </c>
      <c r="K28" t="s">
        <v>801</v>
      </c>
      <c r="L28" t="s">
        <v>804</v>
      </c>
      <c r="M28" t="s">
        <v>1125</v>
      </c>
      <c r="N28" t="s">
        <v>1155</v>
      </c>
    </row>
    <row r="29" spans="1:20" x14ac:dyDescent="0.25">
      <c r="C29">
        <v>6</v>
      </c>
      <c r="D29">
        <v>3</v>
      </c>
      <c r="E29">
        <v>4</v>
      </c>
      <c r="F29">
        <v>5</v>
      </c>
      <c r="G29">
        <v>4</v>
      </c>
      <c r="J29">
        <v>5</v>
      </c>
      <c r="K29">
        <v>5</v>
      </c>
      <c r="L29">
        <v>7</v>
      </c>
      <c r="M29">
        <v>5</v>
      </c>
      <c r="N29">
        <v>2</v>
      </c>
      <c r="R29">
        <f>14/2*(4/20)</f>
        <v>1.4000000000000001</v>
      </c>
    </row>
    <row r="31" spans="1:20" x14ac:dyDescent="0.25">
      <c r="B31" t="s">
        <v>1180</v>
      </c>
    </row>
    <row r="33" spans="2:20" x14ac:dyDescent="0.25">
      <c r="B33" t="s">
        <v>119</v>
      </c>
      <c r="I33" t="s">
        <v>125</v>
      </c>
      <c r="O33" t="s">
        <v>123</v>
      </c>
    </row>
    <row r="34" spans="2:20" x14ac:dyDescent="0.25">
      <c r="C34" t="s">
        <v>800</v>
      </c>
      <c r="D34" t="s">
        <v>801</v>
      </c>
      <c r="E34" t="s">
        <v>804</v>
      </c>
      <c r="F34" t="s">
        <v>1125</v>
      </c>
      <c r="G34" t="s">
        <v>1155</v>
      </c>
      <c r="J34" t="s">
        <v>800</v>
      </c>
      <c r="K34" t="s">
        <v>801</v>
      </c>
      <c r="L34" t="s">
        <v>804</v>
      </c>
      <c r="M34" t="s">
        <v>1125</v>
      </c>
      <c r="N34" t="s">
        <v>1155</v>
      </c>
      <c r="P34" t="s">
        <v>800</v>
      </c>
      <c r="Q34" t="s">
        <v>801</v>
      </c>
      <c r="R34" t="s">
        <v>804</v>
      </c>
      <c r="S34" t="s">
        <v>1125</v>
      </c>
      <c r="T34" t="s">
        <v>1155</v>
      </c>
    </row>
    <row r="35" spans="2:20" x14ac:dyDescent="0.25">
      <c r="C35">
        <f>C25-P20</f>
        <v>-1</v>
      </c>
      <c r="D35">
        <f>D25-Q20</f>
        <v>1</v>
      </c>
      <c r="E35">
        <f>E25-R20</f>
        <v>-1</v>
      </c>
      <c r="F35">
        <f>F25-S20</f>
        <v>0</v>
      </c>
      <c r="G35">
        <f>G25-T20</f>
        <v>2</v>
      </c>
      <c r="J35">
        <f>J25-P20</f>
        <v>0</v>
      </c>
      <c r="K35">
        <f>K25-Q20</f>
        <v>0</v>
      </c>
      <c r="L35">
        <f>L25-R20</f>
        <v>2</v>
      </c>
      <c r="M35">
        <f>M25-S20</f>
        <v>4</v>
      </c>
      <c r="N35">
        <f>N25-T20</f>
        <v>3</v>
      </c>
      <c r="P35">
        <f>P25-P20</f>
        <v>0</v>
      </c>
      <c r="Q35">
        <f>Q25-Q20</f>
        <v>-7</v>
      </c>
      <c r="R35">
        <f>R25-R20</f>
        <v>-2</v>
      </c>
      <c r="S35">
        <f>S25-S20</f>
        <v>1</v>
      </c>
      <c r="T35">
        <f>T25-T20</f>
        <v>0</v>
      </c>
    </row>
    <row r="37" spans="2:20" x14ac:dyDescent="0.25">
      <c r="B37" t="s">
        <v>120</v>
      </c>
      <c r="I37" t="s">
        <v>128</v>
      </c>
    </row>
    <row r="38" spans="2:20" x14ac:dyDescent="0.25">
      <c r="C38" t="s">
        <v>800</v>
      </c>
      <c r="D38" t="s">
        <v>801</v>
      </c>
      <c r="E38" t="s">
        <v>804</v>
      </c>
      <c r="F38" t="s">
        <v>1125</v>
      </c>
      <c r="G38" t="s">
        <v>1155</v>
      </c>
      <c r="J38" t="s">
        <v>800</v>
      </c>
      <c r="K38" t="s">
        <v>801</v>
      </c>
      <c r="L38" t="s">
        <v>804</v>
      </c>
      <c r="M38" t="s">
        <v>1125</v>
      </c>
      <c r="N38" t="s">
        <v>1155</v>
      </c>
    </row>
    <row r="39" spans="2:20" x14ac:dyDescent="0.25">
      <c r="C39">
        <f>C29-P20</f>
        <v>-1</v>
      </c>
      <c r="D39">
        <f>D29-Q20</f>
        <v>-6</v>
      </c>
      <c r="E39">
        <f>E29-R20</f>
        <v>-6</v>
      </c>
      <c r="F39">
        <f>F29-S20</f>
        <v>0</v>
      </c>
      <c r="G39">
        <f>G29-T20</f>
        <v>-1</v>
      </c>
      <c r="J39">
        <f>J29-P20</f>
        <v>-2</v>
      </c>
      <c r="K39">
        <f>K29-Q20</f>
        <v>-4</v>
      </c>
      <c r="L39">
        <f>L29-R20</f>
        <v>-3</v>
      </c>
      <c r="M39">
        <f>M29-S20</f>
        <v>0</v>
      </c>
      <c r="N39">
        <f>N29-T20</f>
        <v>-3</v>
      </c>
    </row>
    <row r="40" spans="2:20" x14ac:dyDescent="0.25">
      <c r="Q40">
        <f>5*5*10</f>
        <v>250</v>
      </c>
    </row>
    <row r="41" spans="2:20" x14ac:dyDescent="0.25">
      <c r="Q41">
        <f>Q40/2</f>
        <v>125</v>
      </c>
    </row>
    <row r="43" spans="2:20" x14ac:dyDescent="0.25">
      <c r="O43" t="s">
        <v>1213</v>
      </c>
    </row>
    <row r="44" spans="2:20" x14ac:dyDescent="0.25">
      <c r="C44" t="s">
        <v>212</v>
      </c>
      <c r="D44">
        <v>10</v>
      </c>
      <c r="F44" t="s">
        <v>212</v>
      </c>
      <c r="G44">
        <v>10</v>
      </c>
      <c r="I44" t="s">
        <v>212</v>
      </c>
      <c r="J44">
        <v>10</v>
      </c>
      <c r="P44" t="s">
        <v>800</v>
      </c>
      <c r="Q44" t="s">
        <v>801</v>
      </c>
      <c r="R44" t="s">
        <v>804</v>
      </c>
      <c r="S44" t="s">
        <v>1125</v>
      </c>
      <c r="T44" t="s">
        <v>1155</v>
      </c>
    </row>
    <row r="45" spans="2:20" x14ac:dyDescent="0.25">
      <c r="C45" t="s">
        <v>635</v>
      </c>
      <c r="D45">
        <v>-9</v>
      </c>
      <c r="F45" t="s">
        <v>1468</v>
      </c>
      <c r="G45">
        <v>-9</v>
      </c>
      <c r="I45" t="s">
        <v>1468</v>
      </c>
      <c r="J45">
        <v>-9</v>
      </c>
      <c r="P45">
        <v>4</v>
      </c>
      <c r="Q45">
        <v>2</v>
      </c>
      <c r="R45">
        <v>8</v>
      </c>
      <c r="S45">
        <v>3</v>
      </c>
      <c r="T45">
        <v>5</v>
      </c>
    </row>
    <row r="46" spans="2:20" x14ac:dyDescent="0.25">
      <c r="C46" t="s">
        <v>1241</v>
      </c>
      <c r="D46">
        <v>-4</v>
      </c>
      <c r="F46" t="s">
        <v>1241</v>
      </c>
      <c r="G46">
        <v>-4</v>
      </c>
      <c r="I46" t="s">
        <v>1241</v>
      </c>
      <c r="J46">
        <v>-4</v>
      </c>
      <c r="O46" t="s">
        <v>1146</v>
      </c>
      <c r="P46">
        <f t="shared" ref="P46:T48" si="0">P45-2</f>
        <v>2</v>
      </c>
      <c r="Q46">
        <f t="shared" si="0"/>
        <v>0</v>
      </c>
      <c r="R46">
        <f t="shared" si="0"/>
        <v>6</v>
      </c>
      <c r="S46">
        <f t="shared" si="0"/>
        <v>1</v>
      </c>
      <c r="T46">
        <f t="shared" si="0"/>
        <v>3</v>
      </c>
    </row>
    <row r="47" spans="2:20" x14ac:dyDescent="0.25">
      <c r="C47" t="s">
        <v>830</v>
      </c>
      <c r="D47">
        <v>-3</v>
      </c>
      <c r="F47" t="s">
        <v>830</v>
      </c>
      <c r="G47">
        <v>-3</v>
      </c>
      <c r="O47" t="s">
        <v>809</v>
      </c>
      <c r="P47">
        <f t="shared" si="0"/>
        <v>0</v>
      </c>
      <c r="Q47">
        <f t="shared" si="0"/>
        <v>-2</v>
      </c>
      <c r="R47">
        <f t="shared" si="0"/>
        <v>4</v>
      </c>
      <c r="S47">
        <f t="shared" si="0"/>
        <v>-1</v>
      </c>
      <c r="T47">
        <f t="shared" si="0"/>
        <v>1</v>
      </c>
    </row>
    <row r="48" spans="2:20" x14ac:dyDescent="0.25">
      <c r="C48" t="s">
        <v>1225</v>
      </c>
      <c r="D48">
        <v>-1</v>
      </c>
      <c r="F48" t="s">
        <v>1225</v>
      </c>
      <c r="G48">
        <v>-1</v>
      </c>
      <c r="O48" t="s">
        <v>810</v>
      </c>
      <c r="P48">
        <f t="shared" si="0"/>
        <v>-2</v>
      </c>
      <c r="Q48">
        <f t="shared" si="0"/>
        <v>-4</v>
      </c>
      <c r="R48">
        <f t="shared" si="0"/>
        <v>2</v>
      </c>
      <c r="S48">
        <f t="shared" si="0"/>
        <v>-3</v>
      </c>
      <c r="T48">
        <f t="shared" si="0"/>
        <v>-1</v>
      </c>
    </row>
    <row r="49" spans="3:25" x14ac:dyDescent="0.25">
      <c r="C49" t="s">
        <v>647</v>
      </c>
      <c r="D49">
        <v>-2</v>
      </c>
      <c r="F49" t="s">
        <v>647</v>
      </c>
      <c r="G49">
        <v>-2</v>
      </c>
      <c r="I49" t="s">
        <v>647</v>
      </c>
      <c r="J49">
        <v>-2</v>
      </c>
    </row>
    <row r="50" spans="3:25" x14ac:dyDescent="0.25">
      <c r="C50" t="s">
        <v>1463</v>
      </c>
      <c r="D50">
        <v>-3</v>
      </c>
      <c r="F50" t="s">
        <v>1463</v>
      </c>
      <c r="G50">
        <v>-3</v>
      </c>
      <c r="I50" t="s">
        <v>1463</v>
      </c>
      <c r="J50">
        <v>-3</v>
      </c>
    </row>
    <row r="51" spans="3:25" x14ac:dyDescent="0.25">
      <c r="C51" t="s">
        <v>635</v>
      </c>
      <c r="D51">
        <v>-3</v>
      </c>
      <c r="F51" t="s">
        <v>682</v>
      </c>
      <c r="G51">
        <v>-3</v>
      </c>
      <c r="I51" t="s">
        <v>682</v>
      </c>
      <c r="J51">
        <v>-3</v>
      </c>
    </row>
    <row r="52" spans="3:25" x14ac:dyDescent="0.25">
      <c r="C52" t="s">
        <v>1469</v>
      </c>
      <c r="D52">
        <v>-1</v>
      </c>
      <c r="F52" t="s">
        <v>1469</v>
      </c>
      <c r="G52">
        <v>-1</v>
      </c>
      <c r="I52" t="s">
        <v>1470</v>
      </c>
      <c r="J52">
        <v>-1</v>
      </c>
    </row>
    <row r="55" spans="3:25" x14ac:dyDescent="0.25">
      <c r="V55">
        <f>(3.5+3+10+2+1+14)</f>
        <v>33.5</v>
      </c>
      <c r="Y55">
        <f>(3.5+6+5+13+14)+10</f>
        <v>51.5</v>
      </c>
    </row>
    <row r="56" spans="3:25" x14ac:dyDescent="0.25">
      <c r="V56">
        <f>V60/V55</f>
        <v>1.4776119402985075</v>
      </c>
      <c r="Y56">
        <f>(3.5+10+5+13+14)</f>
        <v>45.5</v>
      </c>
    </row>
    <row r="57" spans="3:25" x14ac:dyDescent="0.25">
      <c r="V57">
        <f>V55/V60</f>
        <v>0.6767676767676768</v>
      </c>
    </row>
    <row r="58" spans="3:25" x14ac:dyDescent="0.25">
      <c r="S58" t="s">
        <v>1800</v>
      </c>
      <c r="V58">
        <f>1-V57</f>
        <v>0.3232323232323232</v>
      </c>
    </row>
    <row r="59" spans="3:25" x14ac:dyDescent="0.25">
      <c r="S59" t="s">
        <v>1231</v>
      </c>
    </row>
    <row r="60" spans="3:25" x14ac:dyDescent="0.25">
      <c r="D60">
        <f>SUM(D44:D59)</f>
        <v>-16</v>
      </c>
      <c r="G60">
        <f>SUM(G44:G59)</f>
        <v>-16</v>
      </c>
      <c r="J60">
        <f>SUM(J44:J59)</f>
        <v>-12</v>
      </c>
      <c r="V60">
        <f>(3.5+3+10+13+5+1+14)</f>
        <v>49.5</v>
      </c>
      <c r="W60">
        <f>4.5+2+14</f>
        <v>20.5</v>
      </c>
    </row>
    <row r="61" spans="3:25" x14ac:dyDescent="0.25">
      <c r="F61" t="s">
        <v>1597</v>
      </c>
      <c r="G61" t="s">
        <v>667</v>
      </c>
      <c r="H61" t="s">
        <v>619</v>
      </c>
      <c r="I61" t="s">
        <v>1598</v>
      </c>
      <c r="J61" t="s">
        <v>620</v>
      </c>
      <c r="K61" t="s">
        <v>1557</v>
      </c>
      <c r="L61" t="s">
        <v>2441</v>
      </c>
      <c r="M61" t="s">
        <v>512</v>
      </c>
      <c r="N61" t="s">
        <v>29</v>
      </c>
      <c r="O61" t="s">
        <v>1674</v>
      </c>
      <c r="P61" t="s">
        <v>1675</v>
      </c>
      <c r="Q61" t="s">
        <v>1082</v>
      </c>
      <c r="R61" t="s">
        <v>1207</v>
      </c>
      <c r="S61" t="s">
        <v>1801</v>
      </c>
      <c r="T61" t="s">
        <v>819</v>
      </c>
      <c r="U61" t="s">
        <v>1757</v>
      </c>
      <c r="V61" t="s">
        <v>1557</v>
      </c>
      <c r="W61">
        <f>W60*10</f>
        <v>205</v>
      </c>
    </row>
    <row r="62" spans="3:25" x14ac:dyDescent="0.25">
      <c r="C62" t="s">
        <v>632</v>
      </c>
      <c r="E62">
        <v>65</v>
      </c>
      <c r="F62">
        <v>65</v>
      </c>
      <c r="Q62">
        <v>60</v>
      </c>
    </row>
    <row r="63" spans="3:25" x14ac:dyDescent="0.25">
      <c r="C63" t="s">
        <v>1588</v>
      </c>
      <c r="E63">
        <v>20</v>
      </c>
      <c r="F63">
        <v>20</v>
      </c>
      <c r="H63">
        <v>20</v>
      </c>
      <c r="K63">
        <v>20</v>
      </c>
      <c r="L63">
        <v>20</v>
      </c>
      <c r="M63">
        <v>20</v>
      </c>
      <c r="N63">
        <v>20</v>
      </c>
      <c r="O63">
        <v>20</v>
      </c>
      <c r="P63">
        <v>20</v>
      </c>
      <c r="R63">
        <v>20</v>
      </c>
      <c r="U63">
        <v>20</v>
      </c>
      <c r="V63">
        <v>20</v>
      </c>
      <c r="Y63">
        <f>-10-2-2-1-1</f>
        <v>-16</v>
      </c>
    </row>
    <row r="64" spans="3:25" x14ac:dyDescent="0.25">
      <c r="C64" t="s">
        <v>1589</v>
      </c>
      <c r="E64">
        <v>10</v>
      </c>
      <c r="H64">
        <v>10</v>
      </c>
      <c r="I64">
        <v>10</v>
      </c>
      <c r="J64">
        <v>10</v>
      </c>
      <c r="K64">
        <v>10</v>
      </c>
      <c r="L64">
        <v>10</v>
      </c>
      <c r="M64">
        <v>10</v>
      </c>
      <c r="O64">
        <v>10</v>
      </c>
      <c r="P64">
        <v>10</v>
      </c>
      <c r="R64">
        <v>10</v>
      </c>
      <c r="S64">
        <v>10</v>
      </c>
      <c r="T64">
        <v>10</v>
      </c>
      <c r="U64">
        <v>10</v>
      </c>
      <c r="V64">
        <v>10</v>
      </c>
    </row>
    <row r="65" spans="2:23" x14ac:dyDescent="0.25">
      <c r="B65">
        <f>(2.5+5+5.5)*9</f>
        <v>117</v>
      </c>
      <c r="C65" t="s">
        <v>1590</v>
      </c>
      <c r="E65">
        <v>10</v>
      </c>
      <c r="F65">
        <v>10</v>
      </c>
      <c r="G65">
        <v>10</v>
      </c>
      <c r="H65">
        <v>10</v>
      </c>
      <c r="I65">
        <v>10</v>
      </c>
      <c r="J65">
        <v>10</v>
      </c>
      <c r="K65">
        <v>10</v>
      </c>
      <c r="L65">
        <v>10</v>
      </c>
      <c r="M65">
        <v>10</v>
      </c>
      <c r="N65">
        <v>10</v>
      </c>
      <c r="O65">
        <v>10</v>
      </c>
      <c r="P65">
        <v>10</v>
      </c>
      <c r="Q65">
        <v>10</v>
      </c>
      <c r="R65">
        <v>10</v>
      </c>
      <c r="S65">
        <v>10</v>
      </c>
      <c r="T65">
        <v>10</v>
      </c>
      <c r="U65">
        <v>10</v>
      </c>
      <c r="V65">
        <v>10</v>
      </c>
    </row>
    <row r="66" spans="2:23" x14ac:dyDescent="0.25">
      <c r="C66" t="s">
        <v>1804</v>
      </c>
      <c r="E66">
        <v>50</v>
      </c>
      <c r="I66">
        <v>20</v>
      </c>
      <c r="J66">
        <v>50</v>
      </c>
    </row>
    <row r="67" spans="2:23" x14ac:dyDescent="0.25">
      <c r="C67" t="s">
        <v>1591</v>
      </c>
      <c r="E67">
        <v>5</v>
      </c>
      <c r="H67">
        <v>5</v>
      </c>
      <c r="I67">
        <v>5</v>
      </c>
      <c r="K67">
        <v>5</v>
      </c>
      <c r="L67">
        <v>5</v>
      </c>
      <c r="M67">
        <v>5</v>
      </c>
      <c r="N67">
        <v>5</v>
      </c>
      <c r="O67">
        <v>5</v>
      </c>
      <c r="P67">
        <v>5</v>
      </c>
      <c r="R67">
        <v>5</v>
      </c>
      <c r="S67">
        <v>5</v>
      </c>
      <c r="V67">
        <v>5</v>
      </c>
    </row>
    <row r="68" spans="2:23" x14ac:dyDescent="0.25">
      <c r="C68" t="s">
        <v>1592</v>
      </c>
      <c r="E68">
        <v>5</v>
      </c>
      <c r="F68">
        <v>5</v>
      </c>
      <c r="H68">
        <v>5</v>
      </c>
      <c r="I68">
        <v>5</v>
      </c>
      <c r="K68">
        <v>5</v>
      </c>
      <c r="N68">
        <v>5</v>
      </c>
      <c r="O68">
        <v>5</v>
      </c>
      <c r="P68">
        <v>5</v>
      </c>
      <c r="R68">
        <v>5</v>
      </c>
      <c r="S68">
        <v>5</v>
      </c>
      <c r="V68">
        <v>5</v>
      </c>
    </row>
    <row r="69" spans="2:23" x14ac:dyDescent="0.25">
      <c r="C69" t="s">
        <v>1593</v>
      </c>
      <c r="E69">
        <v>10</v>
      </c>
      <c r="U69">
        <v>10</v>
      </c>
    </row>
    <row r="70" spans="2:23" x14ac:dyDescent="0.25">
      <c r="C70" t="s">
        <v>1594</v>
      </c>
      <c r="E70">
        <v>40</v>
      </c>
      <c r="G70">
        <v>40</v>
      </c>
    </row>
    <row r="71" spans="2:23" x14ac:dyDescent="0.25">
      <c r="C71" t="s">
        <v>1595</v>
      </c>
      <c r="E71">
        <v>5</v>
      </c>
      <c r="J71">
        <v>5</v>
      </c>
      <c r="N71">
        <v>5</v>
      </c>
    </row>
    <row r="72" spans="2:23" x14ac:dyDescent="0.25">
      <c r="C72" t="s">
        <v>1596</v>
      </c>
      <c r="E72">
        <v>10</v>
      </c>
      <c r="J72">
        <v>10</v>
      </c>
      <c r="N72">
        <v>10</v>
      </c>
      <c r="W72">
        <v>8.5</v>
      </c>
    </row>
    <row r="73" spans="2:23" x14ac:dyDescent="0.25">
      <c r="C73" t="s">
        <v>1163</v>
      </c>
      <c r="E73">
        <v>10</v>
      </c>
      <c r="G73">
        <v>10</v>
      </c>
      <c r="H73">
        <v>10</v>
      </c>
      <c r="I73">
        <v>10</v>
      </c>
      <c r="J73">
        <v>10</v>
      </c>
      <c r="K73">
        <v>10</v>
      </c>
      <c r="L73">
        <v>10</v>
      </c>
      <c r="M73">
        <v>10</v>
      </c>
      <c r="N73">
        <v>10</v>
      </c>
      <c r="O73">
        <v>10</v>
      </c>
      <c r="P73">
        <v>10</v>
      </c>
      <c r="Q73">
        <v>10</v>
      </c>
      <c r="R73">
        <v>10</v>
      </c>
      <c r="S73">
        <v>10</v>
      </c>
      <c r="T73">
        <v>10</v>
      </c>
      <c r="U73">
        <v>10</v>
      </c>
      <c r="V73">
        <v>10</v>
      </c>
      <c r="W73">
        <v>5</v>
      </c>
    </row>
    <row r="74" spans="2:23" x14ac:dyDescent="0.25">
      <c r="C74" t="s">
        <v>1649</v>
      </c>
      <c r="E74">
        <v>40</v>
      </c>
      <c r="H74">
        <v>40</v>
      </c>
      <c r="I74">
        <v>40</v>
      </c>
      <c r="M74">
        <v>40</v>
      </c>
      <c r="O74">
        <v>40</v>
      </c>
      <c r="P74">
        <v>40</v>
      </c>
      <c r="Q74">
        <v>40</v>
      </c>
      <c r="R74">
        <v>40</v>
      </c>
      <c r="S74">
        <v>40</v>
      </c>
      <c r="T74">
        <v>40</v>
      </c>
      <c r="U74">
        <v>40</v>
      </c>
      <c r="V74">
        <v>40</v>
      </c>
      <c r="W74">
        <v>7</v>
      </c>
    </row>
    <row r="75" spans="2:23" x14ac:dyDescent="0.25">
      <c r="C75" t="s">
        <v>1799</v>
      </c>
      <c r="Q75">
        <v>10</v>
      </c>
      <c r="W75">
        <v>1</v>
      </c>
    </row>
    <row r="76" spans="2:23" x14ac:dyDescent="0.25">
      <c r="C76" t="s">
        <v>1673</v>
      </c>
      <c r="L76">
        <v>40</v>
      </c>
      <c r="M76">
        <v>5</v>
      </c>
      <c r="N76">
        <v>40</v>
      </c>
    </row>
    <row r="77" spans="2:23" x14ac:dyDescent="0.25">
      <c r="E77">
        <f t="shared" ref="E77:V77" si="1">SUM(E62:E76)</f>
        <v>280</v>
      </c>
      <c r="F77">
        <f t="shared" si="1"/>
        <v>100</v>
      </c>
      <c r="G77">
        <f t="shared" si="1"/>
        <v>60</v>
      </c>
      <c r="H77">
        <f t="shared" si="1"/>
        <v>100</v>
      </c>
      <c r="I77">
        <f t="shared" si="1"/>
        <v>100</v>
      </c>
      <c r="J77">
        <f>SUM(J62:J76)</f>
        <v>95</v>
      </c>
      <c r="K77">
        <f>SUM(K62:K76)</f>
        <v>60</v>
      </c>
      <c r="L77">
        <f t="shared" si="1"/>
        <v>95</v>
      </c>
      <c r="M77">
        <f t="shared" si="1"/>
        <v>100</v>
      </c>
      <c r="N77">
        <f t="shared" si="1"/>
        <v>105</v>
      </c>
      <c r="O77">
        <f t="shared" si="1"/>
        <v>100</v>
      </c>
      <c r="P77">
        <f t="shared" si="1"/>
        <v>100</v>
      </c>
      <c r="Q77">
        <f t="shared" si="1"/>
        <v>130</v>
      </c>
      <c r="R77">
        <f t="shared" si="1"/>
        <v>100</v>
      </c>
      <c r="S77">
        <f t="shared" si="1"/>
        <v>80</v>
      </c>
      <c r="T77">
        <f t="shared" si="1"/>
        <v>70</v>
      </c>
      <c r="U77">
        <f t="shared" si="1"/>
        <v>100</v>
      </c>
      <c r="V77">
        <f t="shared" si="1"/>
        <v>100</v>
      </c>
    </row>
    <row r="78" spans="2:23" x14ac:dyDescent="0.25">
      <c r="C78" t="s">
        <v>1650</v>
      </c>
    </row>
    <row r="79" spans="2:23" x14ac:dyDescent="0.25">
      <c r="C79" t="s">
        <v>1651</v>
      </c>
    </row>
    <row r="80" spans="2:23" x14ac:dyDescent="0.25">
      <c r="C80" t="s">
        <v>1652</v>
      </c>
      <c r="P80">
        <v>200</v>
      </c>
    </row>
    <row r="81" spans="3:24" x14ac:dyDescent="0.25">
      <c r="C81" t="s">
        <v>1653</v>
      </c>
      <c r="H81">
        <f>3.5+14+2</f>
        <v>19.5</v>
      </c>
      <c r="I81">
        <f>H81+8</f>
        <v>27.5</v>
      </c>
      <c r="J81">
        <f>I81/H81</f>
        <v>1.4102564102564104</v>
      </c>
      <c r="P81">
        <v>0.6</v>
      </c>
      <c r="R81">
        <f>SUM(R71:R80)</f>
        <v>150</v>
      </c>
      <c r="S81">
        <f>SUM(S71:S80)</f>
        <v>130</v>
      </c>
      <c r="W81">
        <f>SUM(W71:W80)</f>
        <v>21.5</v>
      </c>
    </row>
    <row r="82" spans="3:24" x14ac:dyDescent="0.25">
      <c r="C82" t="s">
        <v>1654</v>
      </c>
      <c r="H82">
        <f>H81*5</f>
        <v>97.5</v>
      </c>
      <c r="I82">
        <f>I81*4.5</f>
        <v>123.75</v>
      </c>
      <c r="J82">
        <f>I82/H82</f>
        <v>1.2692307692307692</v>
      </c>
      <c r="P82">
        <f>P80*P81</f>
        <v>120</v>
      </c>
    </row>
    <row r="83" spans="3:24" x14ac:dyDescent="0.25">
      <c r="C83" t="s">
        <v>1655</v>
      </c>
      <c r="W83">
        <f>W81*0.5</f>
        <v>10.75</v>
      </c>
      <c r="X83">
        <f>V83/W83</f>
        <v>0</v>
      </c>
    </row>
    <row r="84" spans="3:24" x14ac:dyDescent="0.25">
      <c r="C84" t="s">
        <v>1656</v>
      </c>
      <c r="K84" t="s">
        <v>1660</v>
      </c>
      <c r="L84">
        <v>-10</v>
      </c>
      <c r="M84">
        <v>-10</v>
      </c>
      <c r="R84">
        <f>(20-(R81+27))/2</f>
        <v>-78.5</v>
      </c>
    </row>
    <row r="85" spans="3:24" x14ac:dyDescent="0.25">
      <c r="C85" t="s">
        <v>1228</v>
      </c>
      <c r="K85" t="s">
        <v>1081</v>
      </c>
      <c r="L85">
        <v>-4</v>
      </c>
      <c r="M85">
        <v>-8</v>
      </c>
    </row>
    <row r="86" spans="3:24" x14ac:dyDescent="0.25">
      <c r="C86" t="s">
        <v>1657</v>
      </c>
      <c r="G86" t="s">
        <v>1662</v>
      </c>
      <c r="K86" t="s">
        <v>830</v>
      </c>
      <c r="L86">
        <v>-4</v>
      </c>
      <c r="P86">
        <f>10-8-1-1+4-5-7</f>
        <v>-8</v>
      </c>
    </row>
    <row r="87" spans="3:24" x14ac:dyDescent="0.25">
      <c r="C87" t="s">
        <v>1658</v>
      </c>
      <c r="G87" t="s">
        <v>1663</v>
      </c>
      <c r="K87" t="s">
        <v>1241</v>
      </c>
      <c r="P87">
        <f>1-1-1-1+4-5-7</f>
        <v>-10</v>
      </c>
      <c r="T87">
        <v>10</v>
      </c>
    </row>
    <row r="88" spans="3:24" x14ac:dyDescent="0.25">
      <c r="C88" t="s">
        <v>1659</v>
      </c>
      <c r="G88" t="s">
        <v>1664</v>
      </c>
      <c r="K88" t="s">
        <v>1225</v>
      </c>
      <c r="L88">
        <v>-1</v>
      </c>
      <c r="M88">
        <v>-1</v>
      </c>
      <c r="T88">
        <v>-7</v>
      </c>
    </row>
    <row r="89" spans="3:24" x14ac:dyDescent="0.25">
      <c r="G89" t="s">
        <v>1665</v>
      </c>
      <c r="K89" t="s">
        <v>809</v>
      </c>
      <c r="L89">
        <v>-2</v>
      </c>
      <c r="M89">
        <v>-2</v>
      </c>
      <c r="T89">
        <v>-5</v>
      </c>
    </row>
    <row r="90" spans="3:24" x14ac:dyDescent="0.25">
      <c r="G90" t="s">
        <v>1290</v>
      </c>
      <c r="K90" t="s">
        <v>1661</v>
      </c>
      <c r="L90">
        <v>-1</v>
      </c>
      <c r="M90">
        <v>-1</v>
      </c>
      <c r="P90">
        <f>100*0.6</f>
        <v>60</v>
      </c>
      <c r="T90">
        <v>4</v>
      </c>
    </row>
    <row r="91" spans="3:24" x14ac:dyDescent="0.25">
      <c r="C91" t="s">
        <v>1666</v>
      </c>
      <c r="G91" t="s">
        <v>1292</v>
      </c>
      <c r="K91" t="s">
        <v>642</v>
      </c>
      <c r="L91">
        <v>-1</v>
      </c>
      <c r="M91">
        <v>-2</v>
      </c>
      <c r="P91">
        <f>100*0.4</f>
        <v>40</v>
      </c>
      <c r="T91">
        <v>-1</v>
      </c>
    </row>
    <row r="92" spans="3:24" x14ac:dyDescent="0.25">
      <c r="C92" t="s">
        <v>1667</v>
      </c>
      <c r="D92">
        <v>-10</v>
      </c>
      <c r="E92">
        <v>-10</v>
      </c>
      <c r="G92" t="s">
        <v>1291</v>
      </c>
      <c r="K92" t="s">
        <v>1463</v>
      </c>
      <c r="L92">
        <v>-3</v>
      </c>
      <c r="P92">
        <f>P90/P91</f>
        <v>1.5</v>
      </c>
      <c r="T92">
        <v>-1</v>
      </c>
    </row>
    <row r="93" spans="3:24" x14ac:dyDescent="0.25">
      <c r="C93" t="s">
        <v>1241</v>
      </c>
      <c r="K93" t="s">
        <v>637</v>
      </c>
      <c r="L93">
        <v>-4</v>
      </c>
      <c r="N93">
        <f>4.5*7+14+2</f>
        <v>47.5</v>
      </c>
      <c r="P93">
        <f>P91/P90</f>
        <v>0.66666666666666663</v>
      </c>
    </row>
    <row r="94" spans="3:24" x14ac:dyDescent="0.25">
      <c r="C94" t="s">
        <v>809</v>
      </c>
      <c r="D94">
        <v>-2</v>
      </c>
      <c r="E94">
        <v>-2</v>
      </c>
      <c r="K94" t="s">
        <v>1669</v>
      </c>
      <c r="M94">
        <v>-2</v>
      </c>
      <c r="Q94" t="s">
        <v>1676</v>
      </c>
    </row>
    <row r="95" spans="3:24" x14ac:dyDescent="0.25">
      <c r="C95" t="s">
        <v>1225</v>
      </c>
      <c r="D95">
        <v>-1</v>
      </c>
      <c r="E95">
        <v>-1</v>
      </c>
      <c r="L95">
        <f>SUM(L84:L94)</f>
        <v>-30</v>
      </c>
      <c r="M95">
        <f>SUM(M84:M94)</f>
        <v>-26</v>
      </c>
      <c r="Q95" t="s">
        <v>1677</v>
      </c>
      <c r="T95">
        <f>SUM(T87:T94)</f>
        <v>0</v>
      </c>
    </row>
    <row r="96" spans="3:24" x14ac:dyDescent="0.25">
      <c r="C96" t="s">
        <v>1661</v>
      </c>
      <c r="D96">
        <v>-1</v>
      </c>
      <c r="E96">
        <v>-1</v>
      </c>
      <c r="H96" t="s">
        <v>1668</v>
      </c>
      <c r="J96" t="s">
        <v>512</v>
      </c>
      <c r="K96" t="s">
        <v>29</v>
      </c>
      <c r="L96" t="s">
        <v>1143</v>
      </c>
      <c r="M96" t="s">
        <v>1672</v>
      </c>
      <c r="P96" t="s">
        <v>29</v>
      </c>
      <c r="Q96" t="s">
        <v>1678</v>
      </c>
    </row>
    <row r="97" spans="3:19" x14ac:dyDescent="0.25">
      <c r="C97" t="s">
        <v>642</v>
      </c>
      <c r="D97">
        <v>-1</v>
      </c>
      <c r="E97">
        <v>-1</v>
      </c>
      <c r="H97" t="s">
        <v>635</v>
      </c>
      <c r="I97">
        <v>1</v>
      </c>
      <c r="J97">
        <v>1</v>
      </c>
      <c r="K97">
        <v>1</v>
      </c>
      <c r="L97">
        <v>1</v>
      </c>
      <c r="M97">
        <v>1</v>
      </c>
      <c r="P97">
        <v>2</v>
      </c>
    </row>
    <row r="98" spans="3:19" x14ac:dyDescent="0.25">
      <c r="C98" t="s">
        <v>1463</v>
      </c>
      <c r="D98">
        <v>-3</v>
      </c>
      <c r="E98">
        <v>-3</v>
      </c>
      <c r="H98" t="s">
        <v>1225</v>
      </c>
      <c r="I98">
        <v>-1</v>
      </c>
      <c r="M98">
        <v>-1</v>
      </c>
      <c r="N98" t="s">
        <v>579</v>
      </c>
      <c r="P98">
        <v>-1</v>
      </c>
    </row>
    <row r="99" spans="3:19" x14ac:dyDescent="0.25">
      <c r="C99" t="s">
        <v>830</v>
      </c>
      <c r="D99">
        <v>-4</v>
      </c>
      <c r="H99" t="s">
        <v>809</v>
      </c>
      <c r="I99">
        <v>-2</v>
      </c>
      <c r="N99" t="s">
        <v>100</v>
      </c>
      <c r="P99">
        <v>-2</v>
      </c>
    </row>
    <row r="100" spans="3:19" x14ac:dyDescent="0.25">
      <c r="C100" t="s">
        <v>637</v>
      </c>
      <c r="D100">
        <v>-4</v>
      </c>
      <c r="E100">
        <v>-10</v>
      </c>
      <c r="H100" t="s">
        <v>644</v>
      </c>
      <c r="I100">
        <v>-1</v>
      </c>
      <c r="N100" t="s">
        <v>552</v>
      </c>
      <c r="P100">
        <v>-2</v>
      </c>
    </row>
    <row r="101" spans="3:19" x14ac:dyDescent="0.25">
      <c r="H101" t="s">
        <v>805</v>
      </c>
      <c r="I101">
        <v>-2</v>
      </c>
      <c r="J101">
        <v>-1</v>
      </c>
      <c r="K101">
        <v>-1</v>
      </c>
      <c r="L101">
        <v>-1</v>
      </c>
      <c r="M101">
        <v>-1</v>
      </c>
      <c r="N101" t="s">
        <v>1671</v>
      </c>
      <c r="P101">
        <v>-1</v>
      </c>
    </row>
    <row r="102" spans="3:19" x14ac:dyDescent="0.25">
      <c r="H102" t="s">
        <v>1187</v>
      </c>
      <c r="I102">
        <v>-1</v>
      </c>
      <c r="N102" t="s">
        <v>1648</v>
      </c>
      <c r="P102">
        <v>-1</v>
      </c>
    </row>
    <row r="103" spans="3:19" x14ac:dyDescent="0.25">
      <c r="D103">
        <f>SUM(D91:D102)</f>
        <v>-26</v>
      </c>
      <c r="E103">
        <f>SUM(E91:E102)</f>
        <v>-28</v>
      </c>
      <c r="H103" t="s">
        <v>1670</v>
      </c>
      <c r="I103">
        <v>-12</v>
      </c>
      <c r="J103">
        <f>-12-6</f>
        <v>-18</v>
      </c>
      <c r="K103">
        <v>-12</v>
      </c>
      <c r="L103">
        <v>-18</v>
      </c>
      <c r="M103">
        <v>-12</v>
      </c>
      <c r="N103" t="s">
        <v>1213</v>
      </c>
      <c r="R103">
        <f>10*3.5</f>
        <v>35</v>
      </c>
    </row>
    <row r="104" spans="3:19" x14ac:dyDescent="0.25">
      <c r="H104" t="s">
        <v>647</v>
      </c>
      <c r="I104">
        <v>-2</v>
      </c>
      <c r="J104">
        <v>-2</v>
      </c>
      <c r="K104">
        <v>-2</v>
      </c>
      <c r="L104">
        <v>-2</v>
      </c>
      <c r="M104">
        <v>-2</v>
      </c>
      <c r="P104">
        <v>-2</v>
      </c>
      <c r="R104">
        <f>R103/2</f>
        <v>17.5</v>
      </c>
    </row>
    <row r="105" spans="3:19" x14ac:dyDescent="0.25">
      <c r="H105" t="s">
        <v>682</v>
      </c>
      <c r="K105">
        <v>-3</v>
      </c>
      <c r="P105">
        <v>-3</v>
      </c>
      <c r="R105">
        <f>R103+R104</f>
        <v>52.5</v>
      </c>
      <c r="S105">
        <v>2</v>
      </c>
    </row>
    <row r="106" spans="3:19" x14ac:dyDescent="0.25">
      <c r="H106" t="s">
        <v>830</v>
      </c>
      <c r="K106">
        <v>-3</v>
      </c>
      <c r="P106">
        <v>-5</v>
      </c>
      <c r="R106">
        <f>R105/2</f>
        <v>26.25</v>
      </c>
      <c r="S106">
        <f>10*S105*R106</f>
        <v>525</v>
      </c>
    </row>
    <row r="107" spans="3:19" x14ac:dyDescent="0.25">
      <c r="H107" t="s">
        <v>1480</v>
      </c>
      <c r="S107">
        <f>S106-80</f>
        <v>445</v>
      </c>
    </row>
    <row r="108" spans="3:19" x14ac:dyDescent="0.25">
      <c r="H108" t="s">
        <v>1081</v>
      </c>
      <c r="M108">
        <v>-2</v>
      </c>
      <c r="S108">
        <f>S107/3</f>
        <v>148.33333333333334</v>
      </c>
    </row>
    <row r="110" spans="3:19" x14ac:dyDescent="0.25">
      <c r="P110">
        <v>-2</v>
      </c>
      <c r="Q110" t="s">
        <v>1843</v>
      </c>
    </row>
    <row r="111" spans="3:19" x14ac:dyDescent="0.25">
      <c r="P111">
        <v>-3</v>
      </c>
      <c r="Q111" t="s">
        <v>1224</v>
      </c>
    </row>
    <row r="112" spans="3:19" x14ac:dyDescent="0.25">
      <c r="C112" t="s">
        <v>1802</v>
      </c>
      <c r="N112">
        <f>3.5+2+2+1</f>
        <v>8.5</v>
      </c>
      <c r="P112">
        <v>-2</v>
      </c>
      <c r="Q112" t="s">
        <v>1146</v>
      </c>
    </row>
    <row r="113" spans="3:19" x14ac:dyDescent="0.25">
      <c r="C113" t="s">
        <v>1803</v>
      </c>
      <c r="H113" t="s">
        <v>1669</v>
      </c>
      <c r="I113">
        <v>-2</v>
      </c>
      <c r="J113">
        <v>-1</v>
      </c>
      <c r="L113">
        <v>-1</v>
      </c>
      <c r="M113">
        <v>-1</v>
      </c>
      <c r="P113">
        <v>-6</v>
      </c>
    </row>
    <row r="114" spans="3:19" x14ac:dyDescent="0.25">
      <c r="H114" t="s">
        <v>1241</v>
      </c>
      <c r="I114">
        <v>-6</v>
      </c>
      <c r="J114">
        <v>-4</v>
      </c>
      <c r="K114">
        <v>-4</v>
      </c>
      <c r="L114">
        <v>-4</v>
      </c>
      <c r="M114">
        <v>-6</v>
      </c>
      <c r="P114">
        <v>-1</v>
      </c>
      <c r="S114">
        <f>5*5*(4.5+4+5+4+4+9)</f>
        <v>762.5</v>
      </c>
    </row>
    <row r="115" spans="3:19" x14ac:dyDescent="0.25">
      <c r="I115">
        <f>SUM(I97:I114)</f>
        <v>-28</v>
      </c>
      <c r="J115">
        <f>SUM(J97:J114)</f>
        <v>-25</v>
      </c>
      <c r="K115">
        <f>SUM(K97:K114)</f>
        <v>-24</v>
      </c>
      <c r="L115">
        <f>SUM(L97:L114)</f>
        <v>-25</v>
      </c>
      <c r="M115">
        <f>SUM(M97:M114)</f>
        <v>-24</v>
      </c>
      <c r="P115">
        <f>SUM(P97:P114)</f>
        <v>-29</v>
      </c>
      <c r="S115">
        <f>6*R106*10</f>
        <v>1575</v>
      </c>
    </row>
    <row r="116" spans="3:19" x14ac:dyDescent="0.25">
      <c r="S116">
        <f>S115*6</f>
        <v>9450</v>
      </c>
    </row>
    <row r="118" spans="3:19" x14ac:dyDescent="0.25">
      <c r="D118">
        <f>8/6</f>
        <v>1.3333333333333333</v>
      </c>
      <c r="E118" t="s">
        <v>1806</v>
      </c>
      <c r="H118">
        <f>8/5</f>
        <v>1.6</v>
      </c>
      <c r="I118" t="s">
        <v>1806</v>
      </c>
      <c r="L118">
        <f>8/4</f>
        <v>2</v>
      </c>
      <c r="M118" t="s">
        <v>1806</v>
      </c>
    </row>
    <row r="119" spans="3:19" x14ac:dyDescent="0.25">
      <c r="E119">
        <f>D118/2</f>
        <v>0.66666666666666663</v>
      </c>
      <c r="F119" t="s">
        <v>1806</v>
      </c>
      <c r="I119">
        <f>H118/2</f>
        <v>0.8</v>
      </c>
      <c r="J119" t="s">
        <v>1806</v>
      </c>
      <c r="M119">
        <f>L118/2</f>
        <v>1</v>
      </c>
      <c r="N119" t="s">
        <v>1806</v>
      </c>
    </row>
    <row r="120" spans="3:19" x14ac:dyDescent="0.25">
      <c r="F120">
        <f>D118/3</f>
        <v>0.44444444444444442</v>
      </c>
      <c r="G120" t="s">
        <v>1806</v>
      </c>
      <c r="J120">
        <f>H118/3</f>
        <v>0.53333333333333333</v>
      </c>
      <c r="K120" t="s">
        <v>1806</v>
      </c>
      <c r="N120">
        <f>L118/3</f>
        <v>0.66666666666666663</v>
      </c>
      <c r="O120" t="s">
        <v>1806</v>
      </c>
    </row>
    <row r="121" spans="3:19" x14ac:dyDescent="0.25">
      <c r="C121" t="s">
        <v>31</v>
      </c>
      <c r="D121">
        <v>13</v>
      </c>
      <c r="E121">
        <v>11</v>
      </c>
      <c r="F121">
        <v>11</v>
      </c>
    </row>
    <row r="122" spans="3:19" x14ac:dyDescent="0.25">
      <c r="C122" t="s">
        <v>1078</v>
      </c>
      <c r="D122">
        <v>13</v>
      </c>
      <c r="E122">
        <v>10</v>
      </c>
      <c r="F122">
        <v>9</v>
      </c>
    </row>
    <row r="123" spans="3:19" x14ac:dyDescent="0.25">
      <c r="C123" t="s">
        <v>1598</v>
      </c>
      <c r="D123">
        <v>12</v>
      </c>
      <c r="E123" s="3">
        <v>10</v>
      </c>
      <c r="F123" s="3">
        <v>9</v>
      </c>
      <c r="G123" t="s">
        <v>797</v>
      </c>
      <c r="H123" t="s">
        <v>1140</v>
      </c>
    </row>
    <row r="124" spans="3:19" x14ac:dyDescent="0.25">
      <c r="C124" t="s">
        <v>1801</v>
      </c>
      <c r="D124">
        <v>12</v>
      </c>
      <c r="E124" s="3">
        <v>10</v>
      </c>
      <c r="F124" s="3">
        <v>9</v>
      </c>
      <c r="G124">
        <v>8</v>
      </c>
      <c r="H124">
        <v>12</v>
      </c>
      <c r="I124">
        <v>8</v>
      </c>
      <c r="J124">
        <v>13</v>
      </c>
      <c r="K124">
        <v>8</v>
      </c>
      <c r="L124" t="s">
        <v>212</v>
      </c>
      <c r="O124" t="s">
        <v>576</v>
      </c>
      <c r="Q124" t="s">
        <v>578</v>
      </c>
    </row>
    <row r="125" spans="3:19" x14ac:dyDescent="0.25">
      <c r="C125" t="s">
        <v>617</v>
      </c>
      <c r="D125">
        <v>13</v>
      </c>
      <c r="E125">
        <v>10</v>
      </c>
      <c r="F125">
        <v>9</v>
      </c>
      <c r="G125">
        <v>-3</v>
      </c>
      <c r="H125">
        <v>-4</v>
      </c>
      <c r="I125">
        <v>-6</v>
      </c>
      <c r="J125">
        <v>-4</v>
      </c>
      <c r="K125">
        <v>-4</v>
      </c>
      <c r="L125" t="s">
        <v>155</v>
      </c>
      <c r="O125" t="s">
        <v>101</v>
      </c>
      <c r="Q125" t="s">
        <v>1292</v>
      </c>
    </row>
    <row r="126" spans="3:19" x14ac:dyDescent="0.25">
      <c r="C126" t="s">
        <v>618</v>
      </c>
      <c r="D126">
        <v>13</v>
      </c>
      <c r="E126">
        <v>12</v>
      </c>
      <c r="F126" s="3">
        <v>12</v>
      </c>
      <c r="H126">
        <v>-1</v>
      </c>
      <c r="I126">
        <v>-1</v>
      </c>
      <c r="J126">
        <v>-1</v>
      </c>
      <c r="K126">
        <v>-1</v>
      </c>
      <c r="L126" t="s">
        <v>1192</v>
      </c>
      <c r="O126" t="s">
        <v>1288</v>
      </c>
      <c r="Q126" t="s">
        <v>1291</v>
      </c>
    </row>
    <row r="127" spans="3:19" x14ac:dyDescent="0.25">
      <c r="C127" t="s">
        <v>619</v>
      </c>
      <c r="D127">
        <v>16</v>
      </c>
      <c r="E127">
        <v>13</v>
      </c>
      <c r="F127">
        <v>12</v>
      </c>
      <c r="G127">
        <v>-1</v>
      </c>
      <c r="H127">
        <v>-3</v>
      </c>
      <c r="I127">
        <v>-5</v>
      </c>
      <c r="J127">
        <v>-4</v>
      </c>
      <c r="K127">
        <v>-5</v>
      </c>
      <c r="L127" t="s">
        <v>1453</v>
      </c>
      <c r="O127" t="s">
        <v>1799</v>
      </c>
      <c r="Q127" t="s">
        <v>1293</v>
      </c>
    </row>
    <row r="128" spans="3:19" x14ac:dyDescent="0.25">
      <c r="C128" t="s">
        <v>512</v>
      </c>
      <c r="D128">
        <v>16</v>
      </c>
      <c r="E128" s="3">
        <v>13</v>
      </c>
      <c r="F128" s="3">
        <v>12</v>
      </c>
      <c r="H128">
        <v>-1</v>
      </c>
      <c r="L128" t="s">
        <v>1225</v>
      </c>
      <c r="O128" t="s">
        <v>1809</v>
      </c>
      <c r="Q128" t="s">
        <v>1808</v>
      </c>
    </row>
    <row r="129" spans="2:18" x14ac:dyDescent="0.25">
      <c r="C129" t="s">
        <v>1807</v>
      </c>
      <c r="D129">
        <v>13</v>
      </c>
      <c r="E129" s="3">
        <v>11</v>
      </c>
      <c r="F129" s="3">
        <v>11</v>
      </c>
      <c r="G129">
        <v>-4</v>
      </c>
      <c r="H129">
        <v>-4</v>
      </c>
      <c r="J129">
        <v>-4</v>
      </c>
      <c r="K129">
        <v>-4</v>
      </c>
      <c r="L129" t="s">
        <v>637</v>
      </c>
    </row>
    <row r="130" spans="2:18" x14ac:dyDescent="0.25">
      <c r="C130" t="s">
        <v>1082</v>
      </c>
      <c r="D130">
        <v>13</v>
      </c>
      <c r="E130" s="3">
        <v>10</v>
      </c>
      <c r="F130" s="3">
        <v>9</v>
      </c>
      <c r="G130">
        <v>-3</v>
      </c>
      <c r="L130" t="s">
        <v>818</v>
      </c>
    </row>
    <row r="131" spans="2:18" x14ac:dyDescent="0.25">
      <c r="C131" s="4" t="s">
        <v>1287</v>
      </c>
      <c r="J131">
        <v>-4</v>
      </c>
      <c r="K131">
        <v>-3</v>
      </c>
      <c r="N131">
        <f>5.5+5</f>
        <v>10.5</v>
      </c>
    </row>
    <row r="132" spans="2:18" x14ac:dyDescent="0.25">
      <c r="C132" s="4" t="s">
        <v>552</v>
      </c>
      <c r="H132">
        <f>1+1+1</f>
        <v>3</v>
      </c>
      <c r="I132">
        <v>-3</v>
      </c>
      <c r="N132">
        <f>4.5+2+2+4.5</f>
        <v>13</v>
      </c>
      <c r="O132">
        <f>4.5+2+4.5+2+2+7+3</f>
        <v>25</v>
      </c>
    </row>
    <row r="133" spans="2:18" x14ac:dyDescent="0.25">
      <c r="C133" s="4" t="s">
        <v>1845</v>
      </c>
      <c r="H133">
        <f>H132*2*2</f>
        <v>12</v>
      </c>
      <c r="O133">
        <f>5.5+5+2+7+3</f>
        <v>22.5</v>
      </c>
    </row>
    <row r="134" spans="2:18" x14ac:dyDescent="0.25">
      <c r="C134" s="4" t="s">
        <v>1292</v>
      </c>
      <c r="E134">
        <f>24+14</f>
        <v>38</v>
      </c>
      <c r="M134">
        <v>19</v>
      </c>
    </row>
    <row r="135" spans="2:18" x14ac:dyDescent="0.25">
      <c r="C135" s="4" t="s">
        <v>1846</v>
      </c>
      <c r="E135">
        <f>E134*(1.5+1)+(5+2+14+2)</f>
        <v>118</v>
      </c>
      <c r="G135">
        <f>SUM(G124:G134)</f>
        <v>-3</v>
      </c>
      <c r="H135">
        <f>SUM(H124:H134)</f>
        <v>14</v>
      </c>
      <c r="I135">
        <f>SUM(I124:I134)</f>
        <v>-7</v>
      </c>
      <c r="J135">
        <f>SUM(J124:J134)</f>
        <v>-4</v>
      </c>
      <c r="K135">
        <f>SUM(K124:K134)</f>
        <v>-9</v>
      </c>
      <c r="M135">
        <v>20</v>
      </c>
    </row>
    <row r="136" spans="2:18" x14ac:dyDescent="0.25">
      <c r="C136" s="4" t="s">
        <v>1238</v>
      </c>
      <c r="M136">
        <v>22</v>
      </c>
    </row>
    <row r="137" spans="2:18" x14ac:dyDescent="0.25">
      <c r="C137" s="4">
        <v>1</v>
      </c>
      <c r="D137" s="4">
        <v>2</v>
      </c>
      <c r="E137" s="4">
        <v>3</v>
      </c>
      <c r="F137" s="4">
        <v>4</v>
      </c>
      <c r="G137" s="4">
        <v>5</v>
      </c>
      <c r="H137" s="4">
        <v>6</v>
      </c>
      <c r="M137">
        <v>18</v>
      </c>
      <c r="Q137">
        <f>4.5+2+4.5+2</f>
        <v>13</v>
      </c>
      <c r="R137">
        <f>Q137/2</f>
        <v>6.5</v>
      </c>
    </row>
    <row r="138" spans="2:18" x14ac:dyDescent="0.25">
      <c r="B138" t="s">
        <v>512</v>
      </c>
      <c r="C138">
        <v>4</v>
      </c>
      <c r="D138">
        <v>3</v>
      </c>
      <c r="E138">
        <v>3</v>
      </c>
      <c r="F138">
        <v>3</v>
      </c>
      <c r="G138">
        <v>2</v>
      </c>
      <c r="H138">
        <v>1</v>
      </c>
      <c r="J138">
        <f>24+5+5+10</f>
        <v>44</v>
      </c>
      <c r="M138">
        <v>19</v>
      </c>
      <c r="Q138">
        <f>Q137*3*2</f>
        <v>78</v>
      </c>
      <c r="R138">
        <f>R137*4</f>
        <v>26</v>
      </c>
    </row>
    <row r="139" spans="2:18" x14ac:dyDescent="0.25">
      <c r="B139" t="s">
        <v>31</v>
      </c>
      <c r="C139">
        <v>5</v>
      </c>
      <c r="D139">
        <v>5</v>
      </c>
      <c r="E139">
        <v>5</v>
      </c>
      <c r="F139">
        <v>4</v>
      </c>
      <c r="G139">
        <v>4</v>
      </c>
      <c r="H139">
        <v>2</v>
      </c>
      <c r="J139">
        <f>J138*(1+1+1+0.5)*2</f>
        <v>308</v>
      </c>
      <c r="M139">
        <v>21</v>
      </c>
      <c r="Q139">
        <f>500/Q138</f>
        <v>6.4102564102564106</v>
      </c>
      <c r="R139">
        <f>500/R138</f>
        <v>19.23076923076923</v>
      </c>
    </row>
    <row r="140" spans="2:18" x14ac:dyDescent="0.25">
      <c r="B140" t="s">
        <v>1844</v>
      </c>
      <c r="C140">
        <v>6</v>
      </c>
      <c r="D140">
        <v>6</v>
      </c>
      <c r="E140">
        <v>6</v>
      </c>
      <c r="F140">
        <v>5</v>
      </c>
      <c r="G140">
        <v>5</v>
      </c>
      <c r="H140">
        <v>3</v>
      </c>
      <c r="M140">
        <f>SUM(M134:M139)</f>
        <v>119</v>
      </c>
      <c r="N140">
        <f>108+6+2+6+2</f>
        <v>124</v>
      </c>
    </row>
    <row r="141" spans="2:18" x14ac:dyDescent="0.25">
      <c r="R141">
        <f>3.5+14</f>
        <v>17.5</v>
      </c>
    </row>
    <row r="142" spans="2:18" x14ac:dyDescent="0.25">
      <c r="I142">
        <f>2+3+3+5</f>
        <v>13</v>
      </c>
      <c r="J142">
        <f>I142+8</f>
        <v>21</v>
      </c>
      <c r="K142">
        <f>J142*5</f>
        <v>105</v>
      </c>
      <c r="R142">
        <f>R141*6</f>
        <v>105</v>
      </c>
    </row>
    <row r="143" spans="2:18" x14ac:dyDescent="0.25">
      <c r="C143">
        <f>4.5*3+5</f>
        <v>18.5</v>
      </c>
      <c r="D143">
        <f>4.5+2+4.5*2+2</f>
        <v>17.5</v>
      </c>
      <c r="E143">
        <f>40+20*7</f>
        <v>180</v>
      </c>
      <c r="I143">
        <f>3.5+1+3+5</f>
        <v>12.5</v>
      </c>
      <c r="J143">
        <f>I143+8</f>
        <v>20.5</v>
      </c>
      <c r="K143">
        <f>J143*5</f>
        <v>102.5</v>
      </c>
      <c r="R143">
        <f>R142*0.1</f>
        <v>10.5</v>
      </c>
    </row>
    <row r="144" spans="2:18" x14ac:dyDescent="0.25">
      <c r="C144">
        <f>C143*4</f>
        <v>74</v>
      </c>
      <c r="D144">
        <f>D143*4</f>
        <v>70</v>
      </c>
      <c r="E144">
        <f>C144+D144</f>
        <v>144</v>
      </c>
    </row>
    <row r="146" spans="2:16" x14ac:dyDescent="0.25">
      <c r="B146" t="s">
        <v>1848</v>
      </c>
      <c r="C146" t="s">
        <v>580</v>
      </c>
    </row>
    <row r="147" spans="2:16" x14ac:dyDescent="0.25">
      <c r="B147" t="s">
        <v>1847</v>
      </c>
      <c r="C147" t="s">
        <v>1287</v>
      </c>
    </row>
    <row r="148" spans="2:16" x14ac:dyDescent="0.25">
      <c r="B148" t="s">
        <v>1181</v>
      </c>
      <c r="C148" t="s">
        <v>101</v>
      </c>
      <c r="O148">
        <f>0.2*20</f>
        <v>4</v>
      </c>
    </row>
    <row r="149" spans="2:16" x14ac:dyDescent="0.25">
      <c r="B149" t="s">
        <v>1183</v>
      </c>
      <c r="C149" t="s">
        <v>1284</v>
      </c>
      <c r="M149">
        <f>0.8^4</f>
        <v>0.40960000000000019</v>
      </c>
    </row>
    <row r="150" spans="2:16" x14ac:dyDescent="0.25">
      <c r="B150" t="s">
        <v>1849</v>
      </c>
      <c r="C150" t="s">
        <v>1799</v>
      </c>
    </row>
    <row r="151" spans="2:16" x14ac:dyDescent="0.25">
      <c r="B151" t="s">
        <v>1182</v>
      </c>
      <c r="C151" t="s">
        <v>576</v>
      </c>
    </row>
    <row r="157" spans="2:16" x14ac:dyDescent="0.25">
      <c r="G157">
        <v>5</v>
      </c>
    </row>
    <row r="158" spans="2:16" x14ac:dyDescent="0.25">
      <c r="G158">
        <v>10</v>
      </c>
    </row>
    <row r="159" spans="2:16" x14ac:dyDescent="0.25">
      <c r="G159">
        <v>20</v>
      </c>
      <c r="K159" t="s">
        <v>2050</v>
      </c>
      <c r="L159" t="s">
        <v>2105</v>
      </c>
      <c r="P159" t="s">
        <v>2110</v>
      </c>
    </row>
    <row r="160" spans="2:16" x14ac:dyDescent="0.25">
      <c r="G160">
        <v>5</v>
      </c>
      <c r="K160" t="s">
        <v>1810</v>
      </c>
      <c r="L160" t="s">
        <v>2106</v>
      </c>
      <c r="P160" t="s">
        <v>2111</v>
      </c>
    </row>
    <row r="161" spans="7:16" x14ac:dyDescent="0.25">
      <c r="K161" t="s">
        <v>2050</v>
      </c>
      <c r="L161" t="s">
        <v>2107</v>
      </c>
      <c r="P161" t="s">
        <v>2112</v>
      </c>
    </row>
    <row r="162" spans="7:16" x14ac:dyDescent="0.25">
      <c r="K162" t="s">
        <v>1810</v>
      </c>
      <c r="L162" t="s">
        <v>2108</v>
      </c>
      <c r="P162" t="s">
        <v>2113</v>
      </c>
    </row>
    <row r="163" spans="7:16" x14ac:dyDescent="0.25">
      <c r="K163" t="s">
        <v>1810</v>
      </c>
      <c r="L163" t="s">
        <v>2109</v>
      </c>
      <c r="P163" t="s">
        <v>2114</v>
      </c>
    </row>
    <row r="166" spans="7:16" x14ac:dyDescent="0.25">
      <c r="G166">
        <f>SUM(G157:G165)</f>
        <v>40</v>
      </c>
    </row>
    <row r="172" spans="7:16" x14ac:dyDescent="0.25">
      <c r="I172">
        <v>10</v>
      </c>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2:T66"/>
  <sheetViews>
    <sheetView topLeftCell="A43" workbookViewId="0">
      <selection activeCell="B3" sqref="B3"/>
    </sheetView>
  </sheetViews>
  <sheetFormatPr defaultRowHeight="15" x14ac:dyDescent="0.25"/>
  <cols>
    <col min="8" max="8" width="9.140625" customWidth="1"/>
  </cols>
  <sheetData>
    <row r="2" spans="1:20" x14ac:dyDescent="0.25">
      <c r="B2" t="s">
        <v>1154</v>
      </c>
      <c r="J2" t="s">
        <v>1171</v>
      </c>
      <c r="P2" t="s">
        <v>1172</v>
      </c>
    </row>
    <row r="3" spans="1:20" x14ac:dyDescent="0.25">
      <c r="D3" t="s">
        <v>800</v>
      </c>
      <c r="E3" t="s">
        <v>801</v>
      </c>
      <c r="F3" t="s">
        <v>804</v>
      </c>
      <c r="G3" t="s">
        <v>1125</v>
      </c>
      <c r="H3" t="s">
        <v>1155</v>
      </c>
      <c r="J3" t="s">
        <v>800</v>
      </c>
      <c r="K3" t="s">
        <v>801</v>
      </c>
      <c r="L3" t="s">
        <v>804</v>
      </c>
      <c r="M3" t="s">
        <v>1125</v>
      </c>
      <c r="N3" t="s">
        <v>1155</v>
      </c>
      <c r="P3" t="s">
        <v>800</v>
      </c>
      <c r="Q3" t="s">
        <v>801</v>
      </c>
      <c r="R3" t="s">
        <v>804</v>
      </c>
      <c r="S3" t="s">
        <v>1125</v>
      </c>
      <c r="T3" t="s">
        <v>1155</v>
      </c>
    </row>
    <row r="4" spans="1:20" x14ac:dyDescent="0.25">
      <c r="A4" t="s">
        <v>1215</v>
      </c>
      <c r="D4">
        <v>2</v>
      </c>
      <c r="E4">
        <v>2</v>
      </c>
      <c r="F4">
        <v>2</v>
      </c>
      <c r="G4">
        <v>2</v>
      </c>
      <c r="H4">
        <v>2</v>
      </c>
      <c r="J4">
        <f>D4+D7+D12+D18+D5</f>
        <v>7</v>
      </c>
      <c r="K4">
        <f>E4+E7+E12+E18+E5</f>
        <v>7</v>
      </c>
      <c r="L4">
        <f>F4+F7+F12+F18+F5</f>
        <v>7</v>
      </c>
      <c r="M4">
        <f>G4+G7+G12+G18+G5</f>
        <v>7</v>
      </c>
      <c r="N4">
        <f>H4+H7+H12+H18+H5</f>
        <v>7</v>
      </c>
    </row>
    <row r="5" spans="1:20" x14ac:dyDescent="0.25">
      <c r="A5" t="s">
        <v>1221</v>
      </c>
      <c r="D5">
        <v>1</v>
      </c>
      <c r="E5">
        <v>1</v>
      </c>
      <c r="F5">
        <v>1</v>
      </c>
      <c r="G5">
        <v>1</v>
      </c>
      <c r="H5">
        <v>1</v>
      </c>
      <c r="J5">
        <f>D5+D7+D12+D18</f>
        <v>5</v>
      </c>
      <c r="K5">
        <f>E5+E7+E12+E18</f>
        <v>5</v>
      </c>
      <c r="L5">
        <f>F5+F7+F12+F18</f>
        <v>5</v>
      </c>
      <c r="M5">
        <f>G5+G7+G12+G18</f>
        <v>5</v>
      </c>
      <c r="N5">
        <f>H5+H7+H12+H18</f>
        <v>5</v>
      </c>
    </row>
    <row r="6" spans="1:20" x14ac:dyDescent="0.25">
      <c r="A6" t="s">
        <v>1158</v>
      </c>
      <c r="D6">
        <v>1</v>
      </c>
      <c r="E6">
        <v>1</v>
      </c>
      <c r="F6">
        <v>1</v>
      </c>
      <c r="G6">
        <v>1</v>
      </c>
      <c r="H6">
        <v>1</v>
      </c>
    </row>
    <row r="7" spans="1:20" x14ac:dyDescent="0.25">
      <c r="A7" t="s">
        <v>1159</v>
      </c>
      <c r="D7">
        <v>2</v>
      </c>
      <c r="E7">
        <v>2</v>
      </c>
      <c r="F7">
        <v>2</v>
      </c>
      <c r="G7">
        <v>2</v>
      </c>
      <c r="H7">
        <v>2</v>
      </c>
    </row>
    <row r="8" spans="1:20" x14ac:dyDescent="0.25">
      <c r="A8" t="s">
        <v>1160</v>
      </c>
      <c r="D8">
        <v>1</v>
      </c>
      <c r="E8">
        <v>1</v>
      </c>
      <c r="F8">
        <v>1</v>
      </c>
      <c r="G8">
        <v>1</v>
      </c>
      <c r="H8">
        <v>1</v>
      </c>
      <c r="J8">
        <f>D5+D7+D11+D12+D13+D16+D18</f>
        <v>10</v>
      </c>
    </row>
    <row r="9" spans="1:20" x14ac:dyDescent="0.25">
      <c r="A9" t="s">
        <v>1161</v>
      </c>
      <c r="D9">
        <v>1</v>
      </c>
      <c r="E9">
        <v>1</v>
      </c>
      <c r="F9">
        <v>1</v>
      </c>
      <c r="G9">
        <v>1</v>
      </c>
      <c r="H9">
        <v>1</v>
      </c>
    </row>
    <row r="10" spans="1:20" x14ac:dyDescent="0.25">
      <c r="A10" t="s">
        <v>1162</v>
      </c>
      <c r="D10">
        <v>2</v>
      </c>
      <c r="E10">
        <v>2</v>
      </c>
      <c r="F10">
        <v>2</v>
      </c>
      <c r="G10">
        <v>2</v>
      </c>
      <c r="H10">
        <v>2</v>
      </c>
    </row>
    <row r="11" spans="1:20" x14ac:dyDescent="0.25">
      <c r="A11" t="s">
        <v>1163</v>
      </c>
      <c r="D11">
        <v>2</v>
      </c>
      <c r="E11">
        <v>2</v>
      </c>
      <c r="F11">
        <v>2</v>
      </c>
      <c r="G11">
        <v>2</v>
      </c>
      <c r="H11">
        <v>2</v>
      </c>
    </row>
    <row r="12" spans="1:20" x14ac:dyDescent="0.25">
      <c r="A12" t="s">
        <v>1216</v>
      </c>
      <c r="D12">
        <v>1</v>
      </c>
      <c r="E12">
        <v>1</v>
      </c>
      <c r="F12">
        <v>1</v>
      </c>
      <c r="G12">
        <v>1</v>
      </c>
      <c r="H12">
        <v>1</v>
      </c>
    </row>
    <row r="13" spans="1:20" x14ac:dyDescent="0.25">
      <c r="A13" t="s">
        <v>1164</v>
      </c>
      <c r="D13">
        <v>2</v>
      </c>
      <c r="E13">
        <v>2</v>
      </c>
      <c r="F13">
        <v>2</v>
      </c>
      <c r="G13">
        <v>2</v>
      </c>
      <c r="H13">
        <v>2</v>
      </c>
    </row>
    <row r="14" spans="1:20" x14ac:dyDescent="0.25">
      <c r="A14" t="s">
        <v>1165</v>
      </c>
      <c r="E14">
        <v>2</v>
      </c>
    </row>
    <row r="15" spans="1:20" x14ac:dyDescent="0.25">
      <c r="A15" t="s">
        <v>1217</v>
      </c>
      <c r="D15">
        <v>1</v>
      </c>
      <c r="E15">
        <v>1</v>
      </c>
      <c r="F15">
        <v>1</v>
      </c>
      <c r="G15">
        <v>1</v>
      </c>
      <c r="H15">
        <v>1</v>
      </c>
    </row>
    <row r="16" spans="1:20" x14ac:dyDescent="0.25">
      <c r="A16" t="s">
        <v>1218</v>
      </c>
      <c r="D16">
        <v>1</v>
      </c>
      <c r="E16">
        <v>1</v>
      </c>
      <c r="F16">
        <v>1</v>
      </c>
      <c r="G16">
        <v>1</v>
      </c>
      <c r="H16">
        <v>1</v>
      </c>
    </row>
    <row r="17" spans="1:20" x14ac:dyDescent="0.25">
      <c r="A17" t="s">
        <v>1219</v>
      </c>
      <c r="D17">
        <v>1</v>
      </c>
      <c r="E17">
        <v>1</v>
      </c>
      <c r="F17">
        <v>1</v>
      </c>
      <c r="G17">
        <v>1</v>
      </c>
      <c r="H17">
        <v>1</v>
      </c>
    </row>
    <row r="18" spans="1:20" x14ac:dyDescent="0.25">
      <c r="A18" t="s">
        <v>1220</v>
      </c>
      <c r="D18">
        <v>1</v>
      </c>
      <c r="E18">
        <v>1</v>
      </c>
      <c r="F18">
        <v>1</v>
      </c>
      <c r="G18">
        <v>1</v>
      </c>
      <c r="H18">
        <v>1</v>
      </c>
    </row>
    <row r="19" spans="1:20" x14ac:dyDescent="0.25">
      <c r="A19" t="s">
        <v>1170</v>
      </c>
      <c r="E19">
        <v>4</v>
      </c>
    </row>
    <row r="20" spans="1:20" x14ac:dyDescent="0.25">
      <c r="A20" t="s">
        <v>1223</v>
      </c>
      <c r="D20">
        <v>2</v>
      </c>
      <c r="E20">
        <v>2</v>
      </c>
      <c r="F20">
        <v>2</v>
      </c>
      <c r="G20">
        <v>2</v>
      </c>
      <c r="H20">
        <v>2</v>
      </c>
    </row>
    <row r="21" spans="1:20" x14ac:dyDescent="0.25">
      <c r="A21" t="s">
        <v>1222</v>
      </c>
      <c r="D21">
        <v>5</v>
      </c>
      <c r="E21">
        <v>5</v>
      </c>
      <c r="G21">
        <v>5</v>
      </c>
    </row>
    <row r="22" spans="1:20" x14ac:dyDescent="0.25">
      <c r="A22" t="s">
        <v>1183</v>
      </c>
      <c r="D22">
        <v>5</v>
      </c>
      <c r="G22">
        <v>5</v>
      </c>
    </row>
    <row r="23" spans="1:20" x14ac:dyDescent="0.25">
      <c r="B23" t="s">
        <v>119</v>
      </c>
      <c r="I23" t="s">
        <v>125</v>
      </c>
      <c r="O23" t="s">
        <v>123</v>
      </c>
    </row>
    <row r="24" spans="1:20" x14ac:dyDescent="0.25">
      <c r="C24" t="s">
        <v>800</v>
      </c>
      <c r="D24" t="s">
        <v>801</v>
      </c>
      <c r="E24" t="s">
        <v>804</v>
      </c>
      <c r="F24" t="s">
        <v>1125</v>
      </c>
      <c r="G24" t="s">
        <v>1155</v>
      </c>
      <c r="J24" t="s">
        <v>800</v>
      </c>
      <c r="K24" t="s">
        <v>801</v>
      </c>
      <c r="L24" t="s">
        <v>804</v>
      </c>
      <c r="M24" t="s">
        <v>1125</v>
      </c>
      <c r="N24" t="s">
        <v>1155</v>
      </c>
      <c r="P24" t="s">
        <v>800</v>
      </c>
      <c r="Q24" t="s">
        <v>801</v>
      </c>
      <c r="R24" t="s">
        <v>804</v>
      </c>
      <c r="S24" t="s">
        <v>1125</v>
      </c>
      <c r="T24" t="s">
        <v>1155</v>
      </c>
    </row>
    <row r="25" spans="1:20" x14ac:dyDescent="0.25">
      <c r="C25">
        <v>6</v>
      </c>
      <c r="D25">
        <v>10</v>
      </c>
      <c r="E25">
        <v>9</v>
      </c>
      <c r="F25">
        <v>5</v>
      </c>
      <c r="G25">
        <v>7</v>
      </c>
      <c r="J25">
        <v>7</v>
      </c>
      <c r="K25">
        <v>9</v>
      </c>
      <c r="L25">
        <v>12</v>
      </c>
      <c r="M25">
        <v>9</v>
      </c>
      <c r="N25">
        <v>8</v>
      </c>
      <c r="P25">
        <v>7</v>
      </c>
      <c r="Q25">
        <v>2</v>
      </c>
      <c r="R25">
        <v>8</v>
      </c>
      <c r="S25">
        <v>6</v>
      </c>
      <c r="T25">
        <v>5</v>
      </c>
    </row>
    <row r="27" spans="1:20" x14ac:dyDescent="0.25">
      <c r="B27" t="s">
        <v>120</v>
      </c>
      <c r="I27" t="s">
        <v>128</v>
      </c>
    </row>
    <row r="28" spans="1:20" x14ac:dyDescent="0.25">
      <c r="C28" t="s">
        <v>800</v>
      </c>
      <c r="D28" t="s">
        <v>801</v>
      </c>
      <c r="E28" t="s">
        <v>804</v>
      </c>
      <c r="F28" t="s">
        <v>1125</v>
      </c>
      <c r="G28" t="s">
        <v>1155</v>
      </c>
      <c r="J28" t="s">
        <v>800</v>
      </c>
      <c r="K28" t="s">
        <v>801</v>
      </c>
      <c r="L28" t="s">
        <v>804</v>
      </c>
      <c r="M28" t="s">
        <v>1125</v>
      </c>
      <c r="N28" t="s">
        <v>1155</v>
      </c>
    </row>
    <row r="29" spans="1:20" x14ac:dyDescent="0.25">
      <c r="C29">
        <v>6</v>
      </c>
      <c r="D29">
        <v>3</v>
      </c>
      <c r="E29">
        <v>4</v>
      </c>
      <c r="F29">
        <v>5</v>
      </c>
      <c r="G29">
        <v>4</v>
      </c>
      <c r="J29">
        <v>5</v>
      </c>
      <c r="K29">
        <v>5</v>
      </c>
      <c r="L29">
        <v>7</v>
      </c>
      <c r="M29">
        <v>5</v>
      </c>
      <c r="N29">
        <v>2</v>
      </c>
      <c r="R29">
        <f>14/2*(4/20)</f>
        <v>1.4000000000000001</v>
      </c>
    </row>
    <row r="31" spans="1:20" x14ac:dyDescent="0.25">
      <c r="B31" t="s">
        <v>1180</v>
      </c>
    </row>
    <row r="33" spans="2:20" x14ac:dyDescent="0.25">
      <c r="B33" t="s">
        <v>119</v>
      </c>
      <c r="I33" t="s">
        <v>125</v>
      </c>
      <c r="O33" t="s">
        <v>123</v>
      </c>
    </row>
    <row r="34" spans="2:20" x14ac:dyDescent="0.25">
      <c r="C34" t="s">
        <v>800</v>
      </c>
      <c r="D34" t="s">
        <v>801</v>
      </c>
      <c r="E34" t="s">
        <v>804</v>
      </c>
      <c r="F34" t="s">
        <v>1125</v>
      </c>
      <c r="G34" t="s">
        <v>1155</v>
      </c>
      <c r="J34" t="s">
        <v>800</v>
      </c>
      <c r="K34" t="s">
        <v>801</v>
      </c>
      <c r="L34" t="s">
        <v>804</v>
      </c>
      <c r="M34" t="s">
        <v>1125</v>
      </c>
      <c r="N34" t="s">
        <v>1155</v>
      </c>
      <c r="P34" t="s">
        <v>800</v>
      </c>
      <c r="Q34" t="s">
        <v>801</v>
      </c>
      <c r="R34" t="s">
        <v>804</v>
      </c>
      <c r="S34" t="s">
        <v>1125</v>
      </c>
      <c r="T34" t="s">
        <v>1155</v>
      </c>
    </row>
    <row r="35" spans="2:20" x14ac:dyDescent="0.25">
      <c r="C35">
        <f>C25-P20</f>
        <v>6</v>
      </c>
      <c r="D35">
        <f>D25-Q20</f>
        <v>10</v>
      </c>
      <c r="E35">
        <f>E25-R20</f>
        <v>9</v>
      </c>
      <c r="F35">
        <f>F25-S20</f>
        <v>5</v>
      </c>
      <c r="G35">
        <f>G25-T20</f>
        <v>7</v>
      </c>
      <c r="J35">
        <f>J25-P20</f>
        <v>7</v>
      </c>
      <c r="K35">
        <f>K25-Q20</f>
        <v>9</v>
      </c>
      <c r="L35">
        <f>L25-R20</f>
        <v>12</v>
      </c>
      <c r="M35">
        <f>M25-S20</f>
        <v>9</v>
      </c>
      <c r="N35">
        <f>N25-T20</f>
        <v>8</v>
      </c>
      <c r="P35">
        <f>P25-P20</f>
        <v>7</v>
      </c>
      <c r="Q35">
        <f>Q25-Q20</f>
        <v>2</v>
      </c>
      <c r="R35">
        <f>R25-R20</f>
        <v>8</v>
      </c>
      <c r="S35">
        <f>S25-S20</f>
        <v>6</v>
      </c>
      <c r="T35">
        <f>T25-T20</f>
        <v>5</v>
      </c>
    </row>
    <row r="37" spans="2:20" x14ac:dyDescent="0.25">
      <c r="B37" t="s">
        <v>120</v>
      </c>
      <c r="I37" t="s">
        <v>128</v>
      </c>
    </row>
    <row r="38" spans="2:20" x14ac:dyDescent="0.25">
      <c r="C38" t="s">
        <v>800</v>
      </c>
      <c r="D38" t="s">
        <v>801</v>
      </c>
      <c r="E38" t="s">
        <v>804</v>
      </c>
      <c r="F38" t="s">
        <v>1125</v>
      </c>
      <c r="G38" t="s">
        <v>1155</v>
      </c>
      <c r="J38" t="s">
        <v>800</v>
      </c>
      <c r="K38" t="s">
        <v>801</v>
      </c>
      <c r="L38" t="s">
        <v>804</v>
      </c>
      <c r="M38" t="s">
        <v>1125</v>
      </c>
      <c r="N38" t="s">
        <v>1155</v>
      </c>
    </row>
    <row r="39" spans="2:20" x14ac:dyDescent="0.25">
      <c r="C39">
        <f>C29-P20</f>
        <v>6</v>
      </c>
      <c r="D39">
        <f>D29-Q20</f>
        <v>3</v>
      </c>
      <c r="E39">
        <f>E29-R20</f>
        <v>4</v>
      </c>
      <c r="F39">
        <f>F29-S20</f>
        <v>5</v>
      </c>
      <c r="G39">
        <f>G29-T20</f>
        <v>4</v>
      </c>
      <c r="J39">
        <f>J29-P20</f>
        <v>5</v>
      </c>
      <c r="K39">
        <f>K29-Q20</f>
        <v>5</v>
      </c>
      <c r="L39">
        <f>L29-R20</f>
        <v>7</v>
      </c>
      <c r="M39">
        <f>M29-S20</f>
        <v>5</v>
      </c>
      <c r="N39">
        <f>N29-T20</f>
        <v>2</v>
      </c>
    </row>
    <row r="40" spans="2:20" x14ac:dyDescent="0.25">
      <c r="Q40">
        <f>5*5*10</f>
        <v>250</v>
      </c>
    </row>
    <row r="41" spans="2:20" x14ac:dyDescent="0.25">
      <c r="Q41">
        <f>Q40/2</f>
        <v>125</v>
      </c>
    </row>
    <row r="45" spans="2:20" x14ac:dyDescent="0.25">
      <c r="E45">
        <v>20</v>
      </c>
      <c r="F45" t="s">
        <v>1285</v>
      </c>
    </row>
    <row r="46" spans="2:20" x14ac:dyDescent="0.25">
      <c r="B46">
        <v>20</v>
      </c>
      <c r="C46" t="s">
        <v>996</v>
      </c>
      <c r="E46">
        <v>50</v>
      </c>
      <c r="F46" t="s">
        <v>1211</v>
      </c>
    </row>
    <row r="47" spans="2:20" x14ac:dyDescent="0.25">
      <c r="B47">
        <v>10</v>
      </c>
      <c r="C47" t="s">
        <v>1201</v>
      </c>
      <c r="E47">
        <v>10</v>
      </c>
      <c r="F47" t="s">
        <v>1197</v>
      </c>
    </row>
    <row r="48" spans="2:20" x14ac:dyDescent="0.25">
      <c r="B48">
        <v>20</v>
      </c>
      <c r="C48" t="s">
        <v>1202</v>
      </c>
      <c r="E48">
        <v>20</v>
      </c>
      <c r="F48" t="s">
        <v>1186</v>
      </c>
    </row>
    <row r="49" spans="2:11" x14ac:dyDescent="0.25">
      <c r="B49">
        <v>25</v>
      </c>
      <c r="C49" t="s">
        <v>1203</v>
      </c>
      <c r="E49">
        <v>20</v>
      </c>
      <c r="F49" t="s">
        <v>1286</v>
      </c>
    </row>
    <row r="50" spans="2:11" x14ac:dyDescent="0.25">
      <c r="B50">
        <v>20</v>
      </c>
      <c r="C50" t="s">
        <v>1011</v>
      </c>
      <c r="E50">
        <v>10</v>
      </c>
      <c r="F50" t="s">
        <v>1016</v>
      </c>
    </row>
    <row r="51" spans="2:11" x14ac:dyDescent="0.25">
      <c r="B51">
        <v>40</v>
      </c>
      <c r="C51" t="s">
        <v>1204</v>
      </c>
      <c r="E51">
        <v>50</v>
      </c>
      <c r="F51" t="s">
        <v>1198</v>
      </c>
    </row>
    <row r="52" spans="2:11" x14ac:dyDescent="0.25">
      <c r="B52">
        <v>20</v>
      </c>
      <c r="C52" t="s">
        <v>972</v>
      </c>
      <c r="E52">
        <v>50</v>
      </c>
      <c r="F52" t="s">
        <v>1199</v>
      </c>
    </row>
    <row r="53" spans="2:11" x14ac:dyDescent="0.25">
      <c r="B53">
        <v>10</v>
      </c>
      <c r="C53" t="s">
        <v>1205</v>
      </c>
      <c r="E53">
        <v>40</v>
      </c>
      <c r="F53" t="s">
        <v>1200</v>
      </c>
    </row>
    <row r="54" spans="2:11" x14ac:dyDescent="0.25">
      <c r="K54">
        <f>(2.5+5+2+7)*(1+0.5+0.5+0.5+1)</f>
        <v>57.75</v>
      </c>
    </row>
    <row r="55" spans="2:11" x14ac:dyDescent="0.25">
      <c r="B55">
        <f>B47+B48+B49+B52</f>
        <v>75</v>
      </c>
      <c r="C55" t="s">
        <v>1213</v>
      </c>
      <c r="E55">
        <f>E47+E50+E52</f>
        <v>70</v>
      </c>
      <c r="F55" t="s">
        <v>1213</v>
      </c>
    </row>
    <row r="56" spans="2:11" x14ac:dyDescent="0.25">
      <c r="B56">
        <f>B47+B48+B49+B53</f>
        <v>65</v>
      </c>
      <c r="C56" t="s">
        <v>1214</v>
      </c>
      <c r="E56">
        <f>E48+E52+E47</f>
        <v>80</v>
      </c>
      <c r="F56" t="s">
        <v>1214</v>
      </c>
    </row>
    <row r="57" spans="2:11" x14ac:dyDescent="0.25">
      <c r="B57">
        <f>B47+B48+B49+B53</f>
        <v>65</v>
      </c>
      <c r="C57" t="s">
        <v>1206</v>
      </c>
      <c r="E57">
        <f>E47+E48+E52</f>
        <v>80</v>
      </c>
      <c r="F57" t="s">
        <v>1206</v>
      </c>
    </row>
    <row r="58" spans="2:11" x14ac:dyDescent="0.25">
      <c r="B58">
        <f>B47+B48+B49+B52</f>
        <v>75</v>
      </c>
      <c r="C58" t="s">
        <v>1207</v>
      </c>
      <c r="E58">
        <f>E47+E50+E52</f>
        <v>70</v>
      </c>
      <c r="F58" t="s">
        <v>1207</v>
      </c>
    </row>
    <row r="59" spans="2:11" x14ac:dyDescent="0.25">
      <c r="B59">
        <f>B47+B48+B49</f>
        <v>55</v>
      </c>
      <c r="C59" t="s">
        <v>1209</v>
      </c>
      <c r="E59">
        <f>E52+E47</f>
        <v>60</v>
      </c>
      <c r="F59" t="s">
        <v>1209</v>
      </c>
    </row>
    <row r="60" spans="2:11" x14ac:dyDescent="0.25">
      <c r="B60">
        <f>B47+B48+B49+B53</f>
        <v>65</v>
      </c>
      <c r="C60" t="s">
        <v>1208</v>
      </c>
      <c r="E60">
        <f>E47+E48+E53</f>
        <v>70</v>
      </c>
      <c r="F60" t="s">
        <v>1208</v>
      </c>
    </row>
    <row r="61" spans="2:11" x14ac:dyDescent="0.25">
      <c r="B61">
        <f>B47+B48+B52</f>
        <v>50</v>
      </c>
      <c r="C61" t="s">
        <v>1210</v>
      </c>
      <c r="E61">
        <f>E46+E47+E48+E50</f>
        <v>90</v>
      </c>
      <c r="F61" t="s">
        <v>1210</v>
      </c>
    </row>
    <row r="62" spans="2:11" x14ac:dyDescent="0.25">
      <c r="B62">
        <f>B47+B52</f>
        <v>30</v>
      </c>
      <c r="C62" t="s">
        <v>1212</v>
      </c>
      <c r="E62">
        <f>E46+E47+E49+E50</f>
        <v>90</v>
      </c>
      <c r="F62" t="s">
        <v>1212</v>
      </c>
    </row>
    <row r="63" spans="2:11" x14ac:dyDescent="0.25">
      <c r="B63">
        <f>B47+B48+B52+B53</f>
        <v>60</v>
      </c>
      <c r="C63" t="s">
        <v>1282</v>
      </c>
      <c r="E63">
        <f>E47+E48+E50</f>
        <v>40</v>
      </c>
      <c r="F63" t="s">
        <v>1282</v>
      </c>
    </row>
    <row r="64" spans="2:11" x14ac:dyDescent="0.25">
      <c r="B64">
        <f>B47+B51+B52+B51</f>
        <v>110</v>
      </c>
      <c r="C64" t="s">
        <v>1283</v>
      </c>
      <c r="E64">
        <f>E53+E50+E47</f>
        <v>60</v>
      </c>
      <c r="F64" t="s">
        <v>1283</v>
      </c>
    </row>
    <row r="65" spans="2:6" x14ac:dyDescent="0.25">
      <c r="B65">
        <f>B46+B47+B48+B49</f>
        <v>75</v>
      </c>
      <c r="C65" t="s">
        <v>1619</v>
      </c>
      <c r="E65">
        <f>E45+E47+E49+E53</f>
        <v>90</v>
      </c>
      <c r="F65" t="s">
        <v>1284</v>
      </c>
    </row>
    <row r="66" spans="2:6" x14ac:dyDescent="0.25">
      <c r="B66">
        <f>B65+10+5</f>
        <v>90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2:T149"/>
  <sheetViews>
    <sheetView topLeftCell="A130" workbookViewId="0">
      <selection activeCell="B5" sqref="B5"/>
    </sheetView>
  </sheetViews>
  <sheetFormatPr defaultRowHeight="15" x14ac:dyDescent="0.25"/>
  <cols>
    <col min="6" max="6" width="9.85546875" customWidth="1"/>
  </cols>
  <sheetData>
    <row r="2" spans="1:20" x14ac:dyDescent="0.25">
      <c r="O2" t="s">
        <v>576</v>
      </c>
      <c r="P2" t="s">
        <v>159</v>
      </c>
      <c r="Q2" t="s">
        <v>577</v>
      </c>
      <c r="R2" t="s">
        <v>578</v>
      </c>
      <c r="S2" t="s">
        <v>581</v>
      </c>
      <c r="T2" t="s">
        <v>158</v>
      </c>
    </row>
    <row r="3" spans="1:20" x14ac:dyDescent="0.25">
      <c r="N3" t="s">
        <v>155</v>
      </c>
      <c r="O3">
        <v>22</v>
      </c>
      <c r="P3" t="s">
        <v>1315</v>
      </c>
      <c r="Q3">
        <v>10</v>
      </c>
      <c r="R3">
        <v>20</v>
      </c>
      <c r="S3">
        <v>21</v>
      </c>
      <c r="T3">
        <v>19</v>
      </c>
    </row>
    <row r="4" spans="1:20" x14ac:dyDescent="0.25">
      <c r="D4" t="s">
        <v>1319</v>
      </c>
      <c r="E4" t="s">
        <v>821</v>
      </c>
      <c r="F4" t="s">
        <v>1126</v>
      </c>
      <c r="G4" t="s">
        <v>1277</v>
      </c>
      <c r="H4" t="s">
        <v>496</v>
      </c>
      <c r="I4" t="s">
        <v>1278</v>
      </c>
      <c r="J4" t="s">
        <v>509</v>
      </c>
      <c r="K4" t="s">
        <v>820</v>
      </c>
      <c r="N4" t="s">
        <v>824</v>
      </c>
      <c r="O4" t="s">
        <v>1318</v>
      </c>
      <c r="R4" t="s">
        <v>1316</v>
      </c>
      <c r="T4" t="s">
        <v>1317</v>
      </c>
    </row>
    <row r="5" spans="1:20" x14ac:dyDescent="0.25">
      <c r="A5">
        <v>20</v>
      </c>
      <c r="B5" t="s">
        <v>576</v>
      </c>
      <c r="C5" t="s">
        <v>1313</v>
      </c>
      <c r="D5">
        <v>1</v>
      </c>
      <c r="E5">
        <f>D5-2-3.5-1-5</f>
        <v>-10.5</v>
      </c>
      <c r="F5">
        <v>-10</v>
      </c>
      <c r="G5">
        <f t="shared" ref="G5:G10" si="0">E5-F5</f>
        <v>-0.5</v>
      </c>
      <c r="H5">
        <f t="shared" ref="H5:H10" si="1">(20-G5)/20</f>
        <v>1.0249999999999999</v>
      </c>
      <c r="I5">
        <f>4.5+2+4+10+2</f>
        <v>22.5</v>
      </c>
      <c r="J5">
        <v>8</v>
      </c>
      <c r="K5">
        <f>(4.5+2+10+2+2)*2</f>
        <v>41</v>
      </c>
      <c r="L5">
        <f t="shared" ref="L5:L10" si="2">H5*(I5*J5+K5)</f>
        <v>226.52499999999998</v>
      </c>
      <c r="N5" t="s">
        <v>1225</v>
      </c>
      <c r="S5" t="s">
        <v>807</v>
      </c>
    </row>
    <row r="6" spans="1:20" x14ac:dyDescent="0.25">
      <c r="A6">
        <v>21</v>
      </c>
      <c r="B6" t="s">
        <v>159</v>
      </c>
      <c r="C6" t="s">
        <v>1311</v>
      </c>
      <c r="D6">
        <v>8</v>
      </c>
      <c r="E6">
        <f>D6-6-4</f>
        <v>-2</v>
      </c>
      <c r="F6">
        <v>-10</v>
      </c>
      <c r="G6">
        <f t="shared" si="0"/>
        <v>8</v>
      </c>
      <c r="H6">
        <f t="shared" si="1"/>
        <v>0.6</v>
      </c>
      <c r="I6">
        <f>3.5+5+4+12</f>
        <v>24.5</v>
      </c>
      <c r="J6">
        <v>2</v>
      </c>
      <c r="K6">
        <v>0</v>
      </c>
      <c r="L6">
        <f t="shared" si="2"/>
        <v>29.4</v>
      </c>
    </row>
    <row r="7" spans="1:20" x14ac:dyDescent="0.25">
      <c r="A7">
        <v>18</v>
      </c>
      <c r="B7" t="s">
        <v>577</v>
      </c>
      <c r="C7" t="s">
        <v>1312</v>
      </c>
      <c r="D7">
        <v>15</v>
      </c>
      <c r="E7">
        <f>D7-5-2</f>
        <v>8</v>
      </c>
      <c r="F7">
        <v>-10</v>
      </c>
      <c r="G7">
        <f t="shared" si="0"/>
        <v>18</v>
      </c>
      <c r="H7">
        <f t="shared" si="1"/>
        <v>0.1</v>
      </c>
      <c r="I7">
        <f>2+3+3</f>
        <v>8</v>
      </c>
      <c r="J7">
        <v>5</v>
      </c>
      <c r="K7">
        <v>0</v>
      </c>
      <c r="L7">
        <f t="shared" si="2"/>
        <v>4</v>
      </c>
    </row>
    <row r="8" spans="1:20" x14ac:dyDescent="0.25">
      <c r="A8">
        <v>24</v>
      </c>
      <c r="B8" t="s">
        <v>578</v>
      </c>
      <c r="C8" t="s">
        <v>825</v>
      </c>
      <c r="D8">
        <v>10</v>
      </c>
      <c r="E8">
        <f>D8-6-2-2</f>
        <v>0</v>
      </c>
      <c r="F8">
        <v>-10</v>
      </c>
      <c r="G8">
        <f t="shared" si="0"/>
        <v>10</v>
      </c>
      <c r="H8">
        <f t="shared" si="1"/>
        <v>0.5</v>
      </c>
      <c r="I8">
        <f>4.5+4+2</f>
        <v>10.5</v>
      </c>
      <c r="J8">
        <v>8</v>
      </c>
      <c r="K8">
        <v>0</v>
      </c>
      <c r="L8">
        <f t="shared" si="2"/>
        <v>42</v>
      </c>
    </row>
    <row r="9" spans="1:20" x14ac:dyDescent="0.25">
      <c r="A9">
        <v>18</v>
      </c>
      <c r="B9" t="s">
        <v>581</v>
      </c>
      <c r="C9" t="s">
        <v>1314</v>
      </c>
      <c r="D9">
        <v>3</v>
      </c>
      <c r="E9">
        <f>D9-4-2-5-1</f>
        <v>-9</v>
      </c>
      <c r="F9">
        <v>-10</v>
      </c>
      <c r="G9">
        <f t="shared" si="0"/>
        <v>1</v>
      </c>
      <c r="H9">
        <f t="shared" si="1"/>
        <v>0.95</v>
      </c>
      <c r="I9">
        <f>5.5+5+9+2</f>
        <v>21.5</v>
      </c>
      <c r="J9">
        <v>6</v>
      </c>
      <c r="K9">
        <v>0</v>
      </c>
      <c r="L9">
        <f t="shared" si="2"/>
        <v>122.55</v>
      </c>
    </row>
    <row r="10" spans="1:20" x14ac:dyDescent="0.25">
      <c r="A10">
        <v>15</v>
      </c>
      <c r="B10" t="s">
        <v>158</v>
      </c>
      <c r="C10" t="s">
        <v>1310</v>
      </c>
      <c r="D10">
        <v>12</v>
      </c>
      <c r="E10">
        <f>D10-3-6-1</f>
        <v>2</v>
      </c>
      <c r="F10">
        <v>-10</v>
      </c>
      <c r="G10">
        <f t="shared" si="0"/>
        <v>12</v>
      </c>
      <c r="H10">
        <f t="shared" si="1"/>
        <v>0.4</v>
      </c>
      <c r="I10">
        <f>3.5+6+7+((3.5+5)*3*0.1)</f>
        <v>19.05</v>
      </c>
      <c r="J10">
        <v>2</v>
      </c>
      <c r="K10">
        <v>0</v>
      </c>
      <c r="L10">
        <f t="shared" si="2"/>
        <v>15.240000000000002</v>
      </c>
    </row>
    <row r="11" spans="1:20" x14ac:dyDescent="0.25">
      <c r="L11">
        <f>SUM(L5:L10)</f>
        <v>439.71499999999997</v>
      </c>
      <c r="M11">
        <f>L19-L11</f>
        <v>91.330000000000098</v>
      </c>
      <c r="N11">
        <f>M11/8</f>
        <v>11.416250000000012</v>
      </c>
    </row>
    <row r="12" spans="1:20" x14ac:dyDescent="0.25">
      <c r="D12" t="s">
        <v>1319</v>
      </c>
      <c r="E12" t="s">
        <v>821</v>
      </c>
      <c r="F12" t="s">
        <v>1126</v>
      </c>
      <c r="G12" t="s">
        <v>1277</v>
      </c>
      <c r="H12" t="s">
        <v>496</v>
      </c>
      <c r="I12" t="s">
        <v>1278</v>
      </c>
      <c r="J12" t="s">
        <v>509</v>
      </c>
      <c r="K12" t="s">
        <v>820</v>
      </c>
    </row>
    <row r="13" spans="1:20" x14ac:dyDescent="0.25">
      <c r="A13">
        <v>20</v>
      </c>
      <c r="B13" t="s">
        <v>576</v>
      </c>
      <c r="C13" t="s">
        <v>1313</v>
      </c>
      <c r="D13">
        <v>1</v>
      </c>
      <c r="E13">
        <f>D13-2-3.5-1-1-5</f>
        <v>-11.5</v>
      </c>
      <c r="F13">
        <f t="shared" ref="F13:F18" si="3">-10+16</f>
        <v>6</v>
      </c>
      <c r="G13">
        <f t="shared" ref="G13:G18" si="4">E13-F13</f>
        <v>-17.5</v>
      </c>
      <c r="H13">
        <v>0.95</v>
      </c>
      <c r="I13">
        <f>4.5+2+4+10+2</f>
        <v>22.5</v>
      </c>
      <c r="J13">
        <v>8</v>
      </c>
      <c r="K13">
        <f>(4.5+2+10+2+2)*2</f>
        <v>41</v>
      </c>
      <c r="L13">
        <f t="shared" ref="L13:L18" si="5">H13*(I13*J13+K13)</f>
        <v>209.95</v>
      </c>
    </row>
    <row r="14" spans="1:20" x14ac:dyDescent="0.25">
      <c r="A14">
        <v>21</v>
      </c>
      <c r="B14" t="s">
        <v>159</v>
      </c>
      <c r="C14" t="s">
        <v>1311</v>
      </c>
      <c r="D14">
        <v>8</v>
      </c>
      <c r="E14">
        <f>D14-6-4</f>
        <v>-2</v>
      </c>
      <c r="F14">
        <f t="shared" si="3"/>
        <v>6</v>
      </c>
      <c r="G14">
        <f t="shared" si="4"/>
        <v>-8</v>
      </c>
      <c r="H14">
        <v>0.95</v>
      </c>
      <c r="I14">
        <f>3.5+5+4+12</f>
        <v>24.5</v>
      </c>
      <c r="J14">
        <v>2</v>
      </c>
      <c r="K14">
        <v>0</v>
      </c>
      <c r="L14">
        <f t="shared" si="5"/>
        <v>46.55</v>
      </c>
    </row>
    <row r="15" spans="1:20" x14ac:dyDescent="0.25">
      <c r="A15">
        <v>18</v>
      </c>
      <c r="B15" t="s">
        <v>577</v>
      </c>
      <c r="C15" t="s">
        <v>1312</v>
      </c>
      <c r="D15">
        <v>15</v>
      </c>
      <c r="E15">
        <f>D15-5-2</f>
        <v>8</v>
      </c>
      <c r="F15">
        <f t="shared" si="3"/>
        <v>6</v>
      </c>
      <c r="G15">
        <f t="shared" si="4"/>
        <v>2</v>
      </c>
      <c r="H15">
        <f>(20-G15)/20</f>
        <v>0.9</v>
      </c>
      <c r="I15">
        <f>2+3+3</f>
        <v>8</v>
      </c>
      <c r="J15">
        <v>5</v>
      </c>
      <c r="K15">
        <v>0</v>
      </c>
      <c r="L15">
        <f t="shared" si="5"/>
        <v>36</v>
      </c>
    </row>
    <row r="16" spans="1:20" x14ac:dyDescent="0.25">
      <c r="A16">
        <v>24</v>
      </c>
      <c r="B16" t="s">
        <v>578</v>
      </c>
      <c r="C16" t="s">
        <v>825</v>
      </c>
      <c r="D16">
        <v>10</v>
      </c>
      <c r="E16">
        <f>D16-6-2-2</f>
        <v>0</v>
      </c>
      <c r="F16">
        <f t="shared" si="3"/>
        <v>6</v>
      </c>
      <c r="G16">
        <f t="shared" si="4"/>
        <v>-6</v>
      </c>
      <c r="H16">
        <v>0.95</v>
      </c>
      <c r="I16">
        <f>4.5+4+2</f>
        <v>10.5</v>
      </c>
      <c r="J16">
        <v>8</v>
      </c>
      <c r="K16">
        <v>0</v>
      </c>
      <c r="L16">
        <f t="shared" si="5"/>
        <v>79.8</v>
      </c>
    </row>
    <row r="17" spans="1:13" x14ac:dyDescent="0.25">
      <c r="A17">
        <v>18</v>
      </c>
      <c r="B17" t="s">
        <v>581</v>
      </c>
      <c r="C17" t="s">
        <v>1314</v>
      </c>
      <c r="D17">
        <v>3</v>
      </c>
      <c r="E17">
        <f>D17-4-2-5-1</f>
        <v>-9</v>
      </c>
      <c r="F17">
        <f t="shared" si="3"/>
        <v>6</v>
      </c>
      <c r="G17">
        <f t="shared" si="4"/>
        <v>-15</v>
      </c>
      <c r="H17">
        <v>0.95</v>
      </c>
      <c r="I17">
        <f>5.5+5+9+2</f>
        <v>21.5</v>
      </c>
      <c r="J17">
        <v>6</v>
      </c>
      <c r="K17">
        <v>0</v>
      </c>
      <c r="L17">
        <f t="shared" si="5"/>
        <v>122.55</v>
      </c>
    </row>
    <row r="18" spans="1:13" x14ac:dyDescent="0.25">
      <c r="A18">
        <v>15</v>
      </c>
      <c r="B18" t="s">
        <v>158</v>
      </c>
      <c r="C18" t="s">
        <v>1310</v>
      </c>
      <c r="D18">
        <v>12</v>
      </c>
      <c r="E18">
        <f>D18-3-6-1</f>
        <v>2</v>
      </c>
      <c r="F18">
        <f t="shared" si="3"/>
        <v>6</v>
      </c>
      <c r="G18">
        <f t="shared" si="4"/>
        <v>-4</v>
      </c>
      <c r="H18">
        <v>0.95</v>
      </c>
      <c r="I18">
        <f>3.5+6+7+((3.5+5)*3*0.1)</f>
        <v>19.05</v>
      </c>
      <c r="J18">
        <v>2</v>
      </c>
      <c r="K18">
        <v>0</v>
      </c>
      <c r="L18">
        <f t="shared" si="5"/>
        <v>36.195</v>
      </c>
    </row>
    <row r="19" spans="1:13" x14ac:dyDescent="0.25">
      <c r="L19">
        <f>SUM(L13:L18)</f>
        <v>531.04500000000007</v>
      </c>
    </row>
    <row r="20" spans="1:13" x14ac:dyDescent="0.25">
      <c r="M20">
        <f>L19/L11</f>
        <v>1.2077027165322995</v>
      </c>
    </row>
    <row r="23" spans="1:13" x14ac:dyDescent="0.25">
      <c r="D23" t="s">
        <v>1319</v>
      </c>
      <c r="E23" t="s">
        <v>821</v>
      </c>
      <c r="F23" t="s">
        <v>1126</v>
      </c>
      <c r="G23" t="s">
        <v>1277</v>
      </c>
      <c r="H23" t="s">
        <v>496</v>
      </c>
      <c r="I23" t="s">
        <v>1278</v>
      </c>
      <c r="J23" t="s">
        <v>509</v>
      </c>
      <c r="K23" t="s">
        <v>820</v>
      </c>
    </row>
    <row r="24" spans="1:13" x14ac:dyDescent="0.25">
      <c r="A24">
        <v>20</v>
      </c>
      <c r="B24" t="s">
        <v>576</v>
      </c>
      <c r="C24" t="s">
        <v>1313</v>
      </c>
      <c r="D24">
        <v>1</v>
      </c>
      <c r="E24">
        <f>D24-2-3.5-1-5</f>
        <v>-10.5</v>
      </c>
      <c r="F24">
        <v>-10</v>
      </c>
      <c r="G24">
        <f t="shared" ref="G24:G29" si="6">E24-F24</f>
        <v>-0.5</v>
      </c>
      <c r="H24">
        <v>0.95</v>
      </c>
      <c r="I24">
        <f>4.5+2+4+10+2</f>
        <v>22.5</v>
      </c>
      <c r="J24">
        <v>4</v>
      </c>
      <c r="K24">
        <f>(4.5+2+10+2+2)*2</f>
        <v>41</v>
      </c>
      <c r="L24">
        <f t="shared" ref="L24:L29" si="7">H24*(I24*J24+K24)</f>
        <v>124.44999999999999</v>
      </c>
    </row>
    <row r="25" spans="1:13" x14ac:dyDescent="0.25">
      <c r="A25">
        <v>21</v>
      </c>
      <c r="B25" t="s">
        <v>159</v>
      </c>
      <c r="C25" t="s">
        <v>1311</v>
      </c>
      <c r="D25">
        <v>8</v>
      </c>
      <c r="E25">
        <f>D25-6-4</f>
        <v>-2</v>
      </c>
      <c r="F25">
        <v>-10</v>
      </c>
      <c r="G25">
        <f t="shared" si="6"/>
        <v>8</v>
      </c>
      <c r="H25">
        <f>(20-G25)/20</f>
        <v>0.6</v>
      </c>
      <c r="I25">
        <f>3.5+5+4+12</f>
        <v>24.5</v>
      </c>
      <c r="J25">
        <v>1</v>
      </c>
      <c r="K25">
        <v>0</v>
      </c>
      <c r="L25">
        <f t="shared" si="7"/>
        <v>14.7</v>
      </c>
    </row>
    <row r="26" spans="1:13" x14ac:dyDescent="0.25">
      <c r="A26">
        <v>18</v>
      </c>
      <c r="B26" t="s">
        <v>577</v>
      </c>
      <c r="C26" t="s">
        <v>1312</v>
      </c>
      <c r="D26">
        <v>15</v>
      </c>
      <c r="E26">
        <f>D26-5-2</f>
        <v>8</v>
      </c>
      <c r="F26">
        <v>-10</v>
      </c>
      <c r="G26">
        <f t="shared" si="6"/>
        <v>18</v>
      </c>
      <c r="H26">
        <f>(20-G26)/20</f>
        <v>0.1</v>
      </c>
      <c r="I26">
        <f>2+3+3</f>
        <v>8</v>
      </c>
      <c r="J26">
        <v>2</v>
      </c>
      <c r="K26">
        <v>0</v>
      </c>
      <c r="L26">
        <f t="shared" si="7"/>
        <v>1.6</v>
      </c>
    </row>
    <row r="27" spans="1:13" x14ac:dyDescent="0.25">
      <c r="A27">
        <v>24</v>
      </c>
      <c r="B27" t="s">
        <v>578</v>
      </c>
      <c r="C27" t="s">
        <v>825</v>
      </c>
      <c r="D27">
        <v>10</v>
      </c>
      <c r="E27">
        <f>D27-6-2-2</f>
        <v>0</v>
      </c>
      <c r="F27">
        <v>-10</v>
      </c>
      <c r="G27">
        <f t="shared" si="6"/>
        <v>10</v>
      </c>
      <c r="H27">
        <f>(20-G27)/20</f>
        <v>0.5</v>
      </c>
      <c r="I27">
        <f>4.5+4+2</f>
        <v>10.5</v>
      </c>
      <c r="J27">
        <v>4</v>
      </c>
      <c r="K27">
        <v>0</v>
      </c>
      <c r="L27">
        <f t="shared" si="7"/>
        <v>21</v>
      </c>
    </row>
    <row r="28" spans="1:13" x14ac:dyDescent="0.25">
      <c r="A28">
        <v>18</v>
      </c>
      <c r="B28" t="s">
        <v>581</v>
      </c>
      <c r="C28" t="s">
        <v>1314</v>
      </c>
      <c r="D28">
        <v>3</v>
      </c>
      <c r="E28">
        <f>D28-4-2-5-1</f>
        <v>-9</v>
      </c>
      <c r="F28">
        <v>-10</v>
      </c>
      <c r="G28">
        <f t="shared" si="6"/>
        <v>1</v>
      </c>
      <c r="H28">
        <f>(20-G28)/20</f>
        <v>0.95</v>
      </c>
      <c r="I28">
        <f>5.5+5+9+2</f>
        <v>21.5</v>
      </c>
      <c r="J28">
        <v>3</v>
      </c>
      <c r="K28">
        <v>0</v>
      </c>
      <c r="L28">
        <f t="shared" si="7"/>
        <v>61.274999999999999</v>
      </c>
    </row>
    <row r="29" spans="1:13" x14ac:dyDescent="0.25">
      <c r="A29">
        <v>15</v>
      </c>
      <c r="B29" t="s">
        <v>158</v>
      </c>
      <c r="C29" t="s">
        <v>1310</v>
      </c>
      <c r="D29">
        <v>12</v>
      </c>
      <c r="E29">
        <f>D29-3-6-1</f>
        <v>2</v>
      </c>
      <c r="F29">
        <v>-10</v>
      </c>
      <c r="G29">
        <f t="shared" si="6"/>
        <v>12</v>
      </c>
      <c r="H29">
        <f>(20-G29)/20</f>
        <v>0.4</v>
      </c>
      <c r="I29">
        <f>3.5+6+7+((3.5+5)*3*0.1)</f>
        <v>19.05</v>
      </c>
      <c r="J29">
        <v>1</v>
      </c>
      <c r="K29">
        <v>0</v>
      </c>
      <c r="L29">
        <f t="shared" si="7"/>
        <v>7.620000000000001</v>
      </c>
    </row>
    <row r="30" spans="1:13" x14ac:dyDescent="0.25">
      <c r="L30">
        <f>SUM(L24:L29)</f>
        <v>230.64499999999998</v>
      </c>
    </row>
    <row r="32" spans="1:13" x14ac:dyDescent="0.25">
      <c r="D32" t="s">
        <v>1319</v>
      </c>
      <c r="E32" t="s">
        <v>821</v>
      </c>
      <c r="F32" t="s">
        <v>1126</v>
      </c>
      <c r="G32" t="s">
        <v>1277</v>
      </c>
      <c r="H32" t="s">
        <v>496</v>
      </c>
      <c r="I32" t="s">
        <v>1278</v>
      </c>
      <c r="J32" t="s">
        <v>509</v>
      </c>
      <c r="K32" t="s">
        <v>820</v>
      </c>
    </row>
    <row r="33" spans="1:14" x14ac:dyDescent="0.25">
      <c r="A33">
        <v>20</v>
      </c>
      <c r="B33" t="s">
        <v>576</v>
      </c>
      <c r="C33" t="s">
        <v>1313</v>
      </c>
      <c r="D33">
        <v>1</v>
      </c>
      <c r="E33">
        <f>D33-2-3.5-1-5</f>
        <v>-10.5</v>
      </c>
      <c r="F33">
        <v>-8</v>
      </c>
      <c r="G33">
        <f t="shared" ref="G33:G38" si="8">E33-F33</f>
        <v>-2.5</v>
      </c>
      <c r="H33">
        <v>0.95</v>
      </c>
      <c r="I33">
        <f>4.5+2+4+10+2</f>
        <v>22.5</v>
      </c>
      <c r="J33">
        <v>4</v>
      </c>
      <c r="K33">
        <f>(4.5+2+10+2+2)*2</f>
        <v>41</v>
      </c>
      <c r="L33">
        <f t="shared" ref="L33:L38" si="9">H33*(I33*J33+K33)</f>
        <v>124.44999999999999</v>
      </c>
    </row>
    <row r="34" spans="1:14" x14ac:dyDescent="0.25">
      <c r="A34">
        <v>21</v>
      </c>
      <c r="B34" t="s">
        <v>159</v>
      </c>
      <c r="C34" t="s">
        <v>1311</v>
      </c>
      <c r="D34">
        <v>8</v>
      </c>
      <c r="E34">
        <f>D34-6-4</f>
        <v>-2</v>
      </c>
      <c r="F34">
        <v>-8</v>
      </c>
      <c r="G34">
        <f t="shared" si="8"/>
        <v>6</v>
      </c>
      <c r="H34">
        <f>(20-G34)/20</f>
        <v>0.7</v>
      </c>
      <c r="I34">
        <f>3.5+5+4+12</f>
        <v>24.5</v>
      </c>
      <c r="J34">
        <v>1</v>
      </c>
      <c r="K34">
        <v>0</v>
      </c>
      <c r="L34">
        <f t="shared" si="9"/>
        <v>17.149999999999999</v>
      </c>
    </row>
    <row r="35" spans="1:14" x14ac:dyDescent="0.25">
      <c r="A35">
        <v>18</v>
      </c>
      <c r="B35" t="s">
        <v>577</v>
      </c>
      <c r="C35" t="s">
        <v>1312</v>
      </c>
      <c r="D35">
        <v>15</v>
      </c>
      <c r="E35">
        <f>D35-5-2</f>
        <v>8</v>
      </c>
      <c r="F35">
        <v>-8</v>
      </c>
      <c r="G35">
        <f t="shared" si="8"/>
        <v>16</v>
      </c>
      <c r="H35">
        <f>(20-G35)/20</f>
        <v>0.2</v>
      </c>
      <c r="I35">
        <f>2+3+3</f>
        <v>8</v>
      </c>
      <c r="J35">
        <v>2</v>
      </c>
      <c r="K35">
        <v>0</v>
      </c>
      <c r="L35">
        <f t="shared" si="9"/>
        <v>3.2</v>
      </c>
    </row>
    <row r="36" spans="1:14" x14ac:dyDescent="0.25">
      <c r="A36">
        <v>24</v>
      </c>
      <c r="B36" t="s">
        <v>578</v>
      </c>
      <c r="C36" t="s">
        <v>825</v>
      </c>
      <c r="D36">
        <v>10</v>
      </c>
      <c r="E36">
        <f>D36-6-2-2</f>
        <v>0</v>
      </c>
      <c r="F36">
        <v>-8</v>
      </c>
      <c r="G36">
        <f t="shared" si="8"/>
        <v>8</v>
      </c>
      <c r="H36">
        <f>(20-G36)/20</f>
        <v>0.6</v>
      </c>
      <c r="I36">
        <f>4.5+4+2</f>
        <v>10.5</v>
      </c>
      <c r="J36">
        <v>4</v>
      </c>
      <c r="K36">
        <v>0</v>
      </c>
      <c r="L36">
        <f t="shared" si="9"/>
        <v>25.2</v>
      </c>
    </row>
    <row r="37" spans="1:14" x14ac:dyDescent="0.25">
      <c r="A37">
        <v>18</v>
      </c>
      <c r="B37" t="s">
        <v>581</v>
      </c>
      <c r="C37" t="s">
        <v>1314</v>
      </c>
      <c r="D37">
        <v>3</v>
      </c>
      <c r="E37">
        <f>D37-4-2-5-1</f>
        <v>-9</v>
      </c>
      <c r="F37">
        <v>-8</v>
      </c>
      <c r="G37">
        <f t="shared" si="8"/>
        <v>-1</v>
      </c>
      <c r="H37">
        <v>0.95</v>
      </c>
      <c r="I37">
        <f>5.5+5+9+2</f>
        <v>21.5</v>
      </c>
      <c r="J37">
        <v>3</v>
      </c>
      <c r="K37">
        <v>0</v>
      </c>
      <c r="L37">
        <f t="shared" si="9"/>
        <v>61.274999999999999</v>
      </c>
    </row>
    <row r="38" spans="1:14" x14ac:dyDescent="0.25">
      <c r="A38">
        <v>15</v>
      </c>
      <c r="B38" t="s">
        <v>158</v>
      </c>
      <c r="C38" t="s">
        <v>1310</v>
      </c>
      <c r="D38">
        <v>12</v>
      </c>
      <c r="E38">
        <f>D38-3-6-1</f>
        <v>2</v>
      </c>
      <c r="F38">
        <v>-8</v>
      </c>
      <c r="G38">
        <f t="shared" si="8"/>
        <v>10</v>
      </c>
      <c r="H38">
        <f>(20-G38)/20</f>
        <v>0.5</v>
      </c>
      <c r="I38">
        <f>3.5+6+7+((3.5+5)*3*0.1)</f>
        <v>19.05</v>
      </c>
      <c r="J38">
        <v>1</v>
      </c>
      <c r="K38">
        <v>0</v>
      </c>
      <c r="L38">
        <f t="shared" si="9"/>
        <v>9.5250000000000004</v>
      </c>
    </row>
    <row r="39" spans="1:14" x14ac:dyDescent="0.25">
      <c r="L39">
        <f>SUM(L33:L38)</f>
        <v>240.79999999999998</v>
      </c>
      <c r="M39">
        <f>L39/L30</f>
        <v>1.0440287021179735</v>
      </c>
      <c r="N39">
        <f>L39-L30</f>
        <v>10.155000000000001</v>
      </c>
    </row>
    <row r="41" spans="1:14" x14ac:dyDescent="0.25">
      <c r="D41" t="s">
        <v>1319</v>
      </c>
      <c r="E41" t="s">
        <v>821</v>
      </c>
      <c r="F41" t="s">
        <v>1126</v>
      </c>
      <c r="G41" t="s">
        <v>1277</v>
      </c>
      <c r="H41" t="s">
        <v>496</v>
      </c>
      <c r="I41" t="s">
        <v>1278</v>
      </c>
      <c r="J41" t="s">
        <v>509</v>
      </c>
      <c r="K41" t="s">
        <v>820</v>
      </c>
    </row>
    <row r="42" spans="1:14" x14ac:dyDescent="0.25">
      <c r="A42">
        <v>20</v>
      </c>
      <c r="B42" t="s">
        <v>576</v>
      </c>
      <c r="C42" t="s">
        <v>1313</v>
      </c>
      <c r="D42">
        <v>1</v>
      </c>
      <c r="E42">
        <f>D42-2-3.5-1-5</f>
        <v>-10.5</v>
      </c>
      <c r="F42">
        <v>-6</v>
      </c>
      <c r="G42">
        <f t="shared" ref="G42:G47" si="10">E42-F42</f>
        <v>-4.5</v>
      </c>
      <c r="H42">
        <v>0.95</v>
      </c>
      <c r="I42">
        <f>4.5+2+4+10+2</f>
        <v>22.5</v>
      </c>
      <c r="J42">
        <v>4</v>
      </c>
      <c r="K42">
        <f>(4.5+2+10+2+2)*2</f>
        <v>41</v>
      </c>
      <c r="L42">
        <f t="shared" ref="L42:L47" si="11">H42*(I42*J42+K42)</f>
        <v>124.44999999999999</v>
      </c>
    </row>
    <row r="43" spans="1:14" x14ac:dyDescent="0.25">
      <c r="A43">
        <v>21</v>
      </c>
      <c r="B43" t="s">
        <v>159</v>
      </c>
      <c r="C43" t="s">
        <v>1311</v>
      </c>
      <c r="D43">
        <v>8</v>
      </c>
      <c r="E43">
        <f>D43-6-4</f>
        <v>-2</v>
      </c>
      <c r="F43">
        <v>-6</v>
      </c>
      <c r="G43">
        <f t="shared" si="10"/>
        <v>4</v>
      </c>
      <c r="H43">
        <f>(20-G43)/20</f>
        <v>0.8</v>
      </c>
      <c r="I43">
        <f>3.5+5+4+12</f>
        <v>24.5</v>
      </c>
      <c r="J43">
        <v>1</v>
      </c>
      <c r="K43">
        <v>0</v>
      </c>
      <c r="L43">
        <f t="shared" si="11"/>
        <v>19.600000000000001</v>
      </c>
    </row>
    <row r="44" spans="1:14" x14ac:dyDescent="0.25">
      <c r="A44">
        <v>18</v>
      </c>
      <c r="B44" t="s">
        <v>577</v>
      </c>
      <c r="C44" t="s">
        <v>1312</v>
      </c>
      <c r="D44">
        <v>15</v>
      </c>
      <c r="E44">
        <f>D44-5-2</f>
        <v>8</v>
      </c>
      <c r="F44">
        <v>-6</v>
      </c>
      <c r="G44">
        <f t="shared" si="10"/>
        <v>14</v>
      </c>
      <c r="H44">
        <f>(20-G44)/20</f>
        <v>0.3</v>
      </c>
      <c r="I44">
        <f>2+3+3</f>
        <v>8</v>
      </c>
      <c r="J44">
        <v>2</v>
      </c>
      <c r="K44">
        <v>0</v>
      </c>
      <c r="L44">
        <f t="shared" si="11"/>
        <v>4.8</v>
      </c>
    </row>
    <row r="45" spans="1:14" x14ac:dyDescent="0.25">
      <c r="A45">
        <v>24</v>
      </c>
      <c r="B45" t="s">
        <v>578</v>
      </c>
      <c r="C45" t="s">
        <v>825</v>
      </c>
      <c r="D45">
        <v>10</v>
      </c>
      <c r="E45">
        <f>D45-6-2-2</f>
        <v>0</v>
      </c>
      <c r="F45">
        <v>-6</v>
      </c>
      <c r="G45">
        <f t="shared" si="10"/>
        <v>6</v>
      </c>
      <c r="H45">
        <f>(20-G45)/20</f>
        <v>0.7</v>
      </c>
      <c r="I45">
        <f>4.5+4+2</f>
        <v>10.5</v>
      </c>
      <c r="J45">
        <v>4</v>
      </c>
      <c r="K45">
        <v>0</v>
      </c>
      <c r="L45">
        <f t="shared" si="11"/>
        <v>29.4</v>
      </c>
    </row>
    <row r="46" spans="1:14" x14ac:dyDescent="0.25">
      <c r="A46">
        <v>18</v>
      </c>
      <c r="B46" t="s">
        <v>581</v>
      </c>
      <c r="C46" t="s">
        <v>1314</v>
      </c>
      <c r="D46">
        <v>3</v>
      </c>
      <c r="E46">
        <f>D46-4-2-5-1</f>
        <v>-9</v>
      </c>
      <c r="F46">
        <v>-6</v>
      </c>
      <c r="G46">
        <f t="shared" si="10"/>
        <v>-3</v>
      </c>
      <c r="H46">
        <v>0.95</v>
      </c>
      <c r="I46">
        <f>5.5+5+9+2</f>
        <v>21.5</v>
      </c>
      <c r="J46">
        <v>3</v>
      </c>
      <c r="K46">
        <v>0</v>
      </c>
      <c r="L46">
        <f t="shared" si="11"/>
        <v>61.274999999999999</v>
      </c>
    </row>
    <row r="47" spans="1:14" x14ac:dyDescent="0.25">
      <c r="A47">
        <v>15</v>
      </c>
      <c r="B47" t="s">
        <v>158</v>
      </c>
      <c r="C47" t="s">
        <v>1310</v>
      </c>
      <c r="D47">
        <v>12</v>
      </c>
      <c r="E47">
        <f>D47-3-6-1</f>
        <v>2</v>
      </c>
      <c r="F47">
        <v>-6</v>
      </c>
      <c r="G47">
        <f t="shared" si="10"/>
        <v>8</v>
      </c>
      <c r="H47">
        <f>(20-G47)/20</f>
        <v>0.6</v>
      </c>
      <c r="I47">
        <f>3.5+6+7+((3.5+5)*3*0.1)</f>
        <v>19.05</v>
      </c>
      <c r="J47">
        <v>1</v>
      </c>
      <c r="K47">
        <v>0</v>
      </c>
      <c r="L47">
        <f t="shared" si="11"/>
        <v>11.43</v>
      </c>
    </row>
    <row r="48" spans="1:14" x14ac:dyDescent="0.25">
      <c r="L48">
        <f>SUM(L42:L47)</f>
        <v>250.95500000000001</v>
      </c>
      <c r="M48">
        <f>L48/L39</f>
        <v>1.0421719269102991</v>
      </c>
      <c r="N48">
        <f>L48-L39</f>
        <v>10.15500000000003</v>
      </c>
    </row>
    <row r="50" spans="1:14" x14ac:dyDescent="0.25">
      <c r="D50" t="s">
        <v>1319</v>
      </c>
      <c r="E50" t="s">
        <v>821</v>
      </c>
      <c r="F50" t="s">
        <v>1126</v>
      </c>
      <c r="G50" t="s">
        <v>1277</v>
      </c>
      <c r="H50" t="s">
        <v>496</v>
      </c>
      <c r="I50" t="s">
        <v>1278</v>
      </c>
      <c r="J50" t="s">
        <v>509</v>
      </c>
      <c r="K50" t="s">
        <v>820</v>
      </c>
    </row>
    <row r="51" spans="1:14" x14ac:dyDescent="0.25">
      <c r="A51">
        <v>20</v>
      </c>
      <c r="B51" t="s">
        <v>576</v>
      </c>
      <c r="C51" t="s">
        <v>1313</v>
      </c>
      <c r="D51">
        <v>1</v>
      </c>
      <c r="E51">
        <f>D51-2-3.5-1-5</f>
        <v>-10.5</v>
      </c>
      <c r="F51">
        <v>-4</v>
      </c>
      <c r="G51">
        <f t="shared" ref="G51:G56" si="12">E51-F51</f>
        <v>-6.5</v>
      </c>
      <c r="H51">
        <v>0.95</v>
      </c>
      <c r="I51">
        <f>4.5+2+4+10+2</f>
        <v>22.5</v>
      </c>
      <c r="J51">
        <v>4</v>
      </c>
      <c r="K51">
        <f>(4.5+2+10+2+2)*2</f>
        <v>41</v>
      </c>
      <c r="L51">
        <f t="shared" ref="L51:L56" si="13">H51*(I51*J51+K51)</f>
        <v>124.44999999999999</v>
      </c>
    </row>
    <row r="52" spans="1:14" x14ac:dyDescent="0.25">
      <c r="A52">
        <v>21</v>
      </c>
      <c r="B52" t="s">
        <v>159</v>
      </c>
      <c r="C52" t="s">
        <v>1311</v>
      </c>
      <c r="D52">
        <v>8</v>
      </c>
      <c r="E52">
        <f>D52-6-4</f>
        <v>-2</v>
      </c>
      <c r="F52">
        <v>-4</v>
      </c>
      <c r="G52">
        <f t="shared" si="12"/>
        <v>2</v>
      </c>
      <c r="H52">
        <f>(20-G52)/20</f>
        <v>0.9</v>
      </c>
      <c r="I52">
        <f>3.5+5+4+12</f>
        <v>24.5</v>
      </c>
      <c r="J52">
        <v>1</v>
      </c>
      <c r="K52">
        <v>0</v>
      </c>
      <c r="L52">
        <f t="shared" si="13"/>
        <v>22.05</v>
      </c>
    </row>
    <row r="53" spans="1:14" x14ac:dyDescent="0.25">
      <c r="A53">
        <v>18</v>
      </c>
      <c r="B53" t="s">
        <v>577</v>
      </c>
      <c r="C53" t="s">
        <v>1312</v>
      </c>
      <c r="D53">
        <v>15</v>
      </c>
      <c r="E53">
        <f>D53-5-2</f>
        <v>8</v>
      </c>
      <c r="F53">
        <v>-4</v>
      </c>
      <c r="G53">
        <f t="shared" si="12"/>
        <v>12</v>
      </c>
      <c r="H53">
        <f>(20-G53)/20</f>
        <v>0.4</v>
      </c>
      <c r="I53">
        <f>2+3+3</f>
        <v>8</v>
      </c>
      <c r="J53">
        <v>2</v>
      </c>
      <c r="K53">
        <v>0</v>
      </c>
      <c r="L53">
        <f t="shared" si="13"/>
        <v>6.4</v>
      </c>
    </row>
    <row r="54" spans="1:14" x14ac:dyDescent="0.25">
      <c r="A54">
        <v>24</v>
      </c>
      <c r="B54" t="s">
        <v>578</v>
      </c>
      <c r="C54" t="s">
        <v>825</v>
      </c>
      <c r="D54">
        <v>10</v>
      </c>
      <c r="E54">
        <f>D54-6-2-2</f>
        <v>0</v>
      </c>
      <c r="F54">
        <v>-4</v>
      </c>
      <c r="G54">
        <f t="shared" si="12"/>
        <v>4</v>
      </c>
      <c r="H54">
        <f>(20-G54)/20</f>
        <v>0.8</v>
      </c>
      <c r="I54">
        <f>4.5+4+2</f>
        <v>10.5</v>
      </c>
      <c r="J54">
        <v>4</v>
      </c>
      <c r="K54">
        <v>0</v>
      </c>
      <c r="L54">
        <f t="shared" si="13"/>
        <v>33.6</v>
      </c>
    </row>
    <row r="55" spans="1:14" x14ac:dyDescent="0.25">
      <c r="A55">
        <v>18</v>
      </c>
      <c r="B55" t="s">
        <v>581</v>
      </c>
      <c r="C55" t="s">
        <v>1314</v>
      </c>
      <c r="D55">
        <v>3</v>
      </c>
      <c r="E55">
        <f>D55-4-2-5-1</f>
        <v>-9</v>
      </c>
      <c r="F55">
        <v>-4</v>
      </c>
      <c r="G55">
        <f t="shared" si="12"/>
        <v>-5</v>
      </c>
      <c r="H55">
        <v>0.95</v>
      </c>
      <c r="I55">
        <f>5.5+5+9+2</f>
        <v>21.5</v>
      </c>
      <c r="J55">
        <v>3</v>
      </c>
      <c r="K55">
        <v>0</v>
      </c>
      <c r="L55">
        <f t="shared" si="13"/>
        <v>61.274999999999999</v>
      </c>
    </row>
    <row r="56" spans="1:14" x14ac:dyDescent="0.25">
      <c r="A56">
        <v>15</v>
      </c>
      <c r="B56" t="s">
        <v>158</v>
      </c>
      <c r="C56" t="s">
        <v>1310</v>
      </c>
      <c r="D56">
        <v>12</v>
      </c>
      <c r="E56">
        <f>D56-3-6-1</f>
        <v>2</v>
      </c>
      <c r="F56">
        <v>-4</v>
      </c>
      <c r="G56">
        <f t="shared" si="12"/>
        <v>6</v>
      </c>
      <c r="H56">
        <f>(20-G56)/20</f>
        <v>0.7</v>
      </c>
      <c r="I56">
        <f>3.5+6+7+((3.5+5)*3*0.1)</f>
        <v>19.05</v>
      </c>
      <c r="J56">
        <v>1</v>
      </c>
      <c r="K56">
        <v>0</v>
      </c>
      <c r="L56">
        <f t="shared" si="13"/>
        <v>13.334999999999999</v>
      </c>
    </row>
    <row r="57" spans="1:14" x14ac:dyDescent="0.25">
      <c r="L57">
        <f>SUM(L51:L56)</f>
        <v>261.11</v>
      </c>
      <c r="M57">
        <f>L57/L48</f>
        <v>1.0404654220876253</v>
      </c>
      <c r="N57">
        <f>L57-L48</f>
        <v>10.155000000000001</v>
      </c>
    </row>
    <row r="60" spans="1:14" x14ac:dyDescent="0.25">
      <c r="B60" t="s">
        <v>1320</v>
      </c>
      <c r="D60">
        <v>5</v>
      </c>
      <c r="E60">
        <v>-2</v>
      </c>
      <c r="F60">
        <v>-10</v>
      </c>
      <c r="G60">
        <f>E60-F60</f>
        <v>8</v>
      </c>
      <c r="H60">
        <f>(20-G60)/20</f>
        <v>0.6</v>
      </c>
      <c r="I60">
        <f>11+3+7+3</f>
        <v>24</v>
      </c>
      <c r="J60">
        <v>4</v>
      </c>
      <c r="K60">
        <v>0</v>
      </c>
      <c r="L60">
        <f>H60*(I60*J60+K60)</f>
        <v>57.599999999999994</v>
      </c>
    </row>
    <row r="61" spans="1:14" x14ac:dyDescent="0.25">
      <c r="B61" t="s">
        <v>1056</v>
      </c>
      <c r="D61">
        <v>10</v>
      </c>
      <c r="E61">
        <v>3</v>
      </c>
      <c r="F61">
        <v>-10</v>
      </c>
      <c r="G61">
        <f>E61-F61</f>
        <v>13</v>
      </c>
      <c r="H61">
        <f>(20-G61)/20</f>
        <v>0.35</v>
      </c>
      <c r="I61">
        <f>(2.5*5)+4+2</f>
        <v>18.5</v>
      </c>
      <c r="J61">
        <v>1</v>
      </c>
      <c r="K61">
        <v>0</v>
      </c>
      <c r="L61">
        <f>H61*(I61*J61+K61)</f>
        <v>6.4749999999999996</v>
      </c>
    </row>
    <row r="62" spans="1:14" x14ac:dyDescent="0.25">
      <c r="B62" t="s">
        <v>1321</v>
      </c>
      <c r="D62">
        <v>10</v>
      </c>
      <c r="E62">
        <f>D62-2-3-3</f>
        <v>2</v>
      </c>
      <c r="F62">
        <v>-10</v>
      </c>
      <c r="G62">
        <f>E62-F62</f>
        <v>12</v>
      </c>
      <c r="H62">
        <f>(20-G62)/20</f>
        <v>0.4</v>
      </c>
      <c r="I62">
        <f>5.5+1+3+3</f>
        <v>12.5</v>
      </c>
      <c r="J62">
        <v>2</v>
      </c>
      <c r="K62">
        <v>0</v>
      </c>
      <c r="L62">
        <f>H62*(I62*J62+K62)</f>
        <v>10</v>
      </c>
    </row>
    <row r="64" spans="1:14" x14ac:dyDescent="0.25">
      <c r="B64" t="s">
        <v>1320</v>
      </c>
      <c r="D64">
        <v>5</v>
      </c>
      <c r="E64">
        <v>-2</v>
      </c>
      <c r="F64">
        <v>-8</v>
      </c>
      <c r="G64">
        <f>E64-F64</f>
        <v>6</v>
      </c>
      <c r="H64">
        <f>(20-G64)/20</f>
        <v>0.7</v>
      </c>
      <c r="I64">
        <f>11+3+7+3</f>
        <v>24</v>
      </c>
      <c r="J64">
        <v>4</v>
      </c>
      <c r="K64">
        <v>0</v>
      </c>
      <c r="L64">
        <f>H64*(I64*J64+K64)</f>
        <v>67.199999999999989</v>
      </c>
      <c r="M64">
        <f>L64-L60</f>
        <v>9.5999999999999943</v>
      </c>
    </row>
    <row r="65" spans="2:18" x14ac:dyDescent="0.25">
      <c r="B65" t="s">
        <v>1056</v>
      </c>
      <c r="D65">
        <v>10</v>
      </c>
      <c r="E65">
        <v>3</v>
      </c>
      <c r="F65">
        <v>-8</v>
      </c>
      <c r="G65">
        <f>E65-F65</f>
        <v>11</v>
      </c>
      <c r="H65">
        <f>(20-G65)/20</f>
        <v>0.45</v>
      </c>
      <c r="I65">
        <f>(2.5*5)+4+2</f>
        <v>18.5</v>
      </c>
      <c r="J65">
        <v>1</v>
      </c>
      <c r="K65">
        <v>0</v>
      </c>
      <c r="L65">
        <f>H65*(I65*J65+K65)</f>
        <v>8.3250000000000011</v>
      </c>
      <c r="M65">
        <f>L65-L61</f>
        <v>1.8500000000000014</v>
      </c>
    </row>
    <row r="66" spans="2:18" x14ac:dyDescent="0.25">
      <c r="B66" t="s">
        <v>1321</v>
      </c>
      <c r="D66">
        <v>10</v>
      </c>
      <c r="E66">
        <f>D66-2-3-3</f>
        <v>2</v>
      </c>
      <c r="F66">
        <v>-8</v>
      </c>
      <c r="G66">
        <f>E66-F66</f>
        <v>10</v>
      </c>
      <c r="H66">
        <f>(20-G66)/20</f>
        <v>0.5</v>
      </c>
      <c r="I66">
        <f>5.5+1+3+3</f>
        <v>12.5</v>
      </c>
      <c r="J66">
        <v>2</v>
      </c>
      <c r="K66">
        <v>0</v>
      </c>
      <c r="L66">
        <f>H66*(I66*J66+K66)</f>
        <v>12.5</v>
      </c>
      <c r="M66">
        <f>L66-L62</f>
        <v>2.5</v>
      </c>
    </row>
    <row r="69" spans="2:18" x14ac:dyDescent="0.25">
      <c r="E69" t="s">
        <v>923</v>
      </c>
      <c r="F69" t="s">
        <v>1435</v>
      </c>
      <c r="G69" t="s">
        <v>1436</v>
      </c>
      <c r="H69" t="s">
        <v>1437</v>
      </c>
      <c r="M69" t="s">
        <v>1443</v>
      </c>
      <c r="N69" t="s">
        <v>1444</v>
      </c>
      <c r="O69" t="s">
        <v>554</v>
      </c>
      <c r="P69" t="s">
        <v>1445</v>
      </c>
      <c r="Q69" t="s">
        <v>1446</v>
      </c>
    </row>
    <row r="70" spans="2:18" x14ac:dyDescent="0.25">
      <c r="C70" t="s">
        <v>1440</v>
      </c>
      <c r="E70">
        <v>0.7</v>
      </c>
      <c r="F70">
        <v>0.6</v>
      </c>
      <c r="G70">
        <v>0.4</v>
      </c>
      <c r="H70">
        <v>0.3</v>
      </c>
      <c r="K70">
        <f>(6+9+1)*5+14</f>
        <v>94</v>
      </c>
      <c r="M70">
        <v>12</v>
      </c>
      <c r="N70" s="4">
        <v>19</v>
      </c>
      <c r="O70">
        <v>17</v>
      </c>
      <c r="P70">
        <v>12</v>
      </c>
      <c r="Q70">
        <v>18</v>
      </c>
      <c r="R70">
        <v>10</v>
      </c>
    </row>
    <row r="71" spans="2:18" x14ac:dyDescent="0.25">
      <c r="C71" t="s">
        <v>1441</v>
      </c>
      <c r="E71">
        <v>0.3</v>
      </c>
      <c r="F71">
        <v>0.3</v>
      </c>
      <c r="G71">
        <v>0.3</v>
      </c>
      <c r="H71">
        <v>0.3</v>
      </c>
      <c r="K71">
        <f>(6+9+4+1)*5+14</f>
        <v>114</v>
      </c>
      <c r="M71">
        <v>18</v>
      </c>
      <c r="N71" s="4">
        <v>17</v>
      </c>
      <c r="O71">
        <v>19</v>
      </c>
      <c r="P71">
        <v>19</v>
      </c>
      <c r="Q71">
        <v>18</v>
      </c>
      <c r="R71">
        <v>10</v>
      </c>
    </row>
    <row r="72" spans="2:18" x14ac:dyDescent="0.25">
      <c r="C72" t="s">
        <v>1442</v>
      </c>
      <c r="E72">
        <f>(1-E70)*(1-E71)</f>
        <v>0.21000000000000002</v>
      </c>
      <c r="F72">
        <f>(1-F70)*(1-F71)</f>
        <v>0.27999999999999997</v>
      </c>
      <c r="G72">
        <f>(1-G70)*(1-G71)</f>
        <v>0.42</v>
      </c>
      <c r="H72">
        <f>(1-H70)*(1-H71)</f>
        <v>0.48999999999999994</v>
      </c>
      <c r="M72">
        <v>17</v>
      </c>
      <c r="N72" s="4">
        <v>18</v>
      </c>
      <c r="O72">
        <v>18</v>
      </c>
      <c r="P72">
        <v>18</v>
      </c>
      <c r="Q72">
        <v>18</v>
      </c>
      <c r="R72">
        <v>10</v>
      </c>
    </row>
    <row r="73" spans="2:18" x14ac:dyDescent="0.25">
      <c r="C73" t="s">
        <v>1438</v>
      </c>
      <c r="E73">
        <f>E72^2</f>
        <v>4.4100000000000007E-2</v>
      </c>
      <c r="F73">
        <f>F72^2</f>
        <v>7.8399999999999984E-2</v>
      </c>
      <c r="G73">
        <f>G72^2</f>
        <v>0.17639999999999997</v>
      </c>
      <c r="H73">
        <f>H72^2</f>
        <v>0.24009999999999992</v>
      </c>
      <c r="M73">
        <v>16</v>
      </c>
      <c r="N73" s="4">
        <v>9</v>
      </c>
      <c r="O73">
        <v>16</v>
      </c>
      <c r="P73">
        <v>11</v>
      </c>
      <c r="Q73">
        <v>11</v>
      </c>
      <c r="R73">
        <v>10</v>
      </c>
    </row>
    <row r="74" spans="2:18" x14ac:dyDescent="0.25">
      <c r="C74" t="s">
        <v>1439</v>
      </c>
      <c r="E74">
        <f>E72^3</f>
        <v>9.2610000000000019E-3</v>
      </c>
      <c r="F74">
        <f>F72^3</f>
        <v>2.1951999999999992E-2</v>
      </c>
      <c r="G74">
        <f>G72^3</f>
        <v>7.4087999999999987E-2</v>
      </c>
      <c r="H74">
        <f>H72^3</f>
        <v>0.11764899999999995</v>
      </c>
      <c r="M74">
        <v>17</v>
      </c>
      <c r="N74">
        <v>14</v>
      </c>
      <c r="O74">
        <v>13</v>
      </c>
      <c r="P74">
        <v>14</v>
      </c>
      <c r="Q74" s="4">
        <v>20</v>
      </c>
      <c r="R74">
        <v>10</v>
      </c>
    </row>
    <row r="75" spans="2:18" x14ac:dyDescent="0.25">
      <c r="J75">
        <f>215/2</f>
        <v>107.5</v>
      </c>
      <c r="M75">
        <v>10</v>
      </c>
      <c r="N75" s="4">
        <v>18</v>
      </c>
      <c r="O75">
        <v>7</v>
      </c>
      <c r="P75">
        <v>16</v>
      </c>
      <c r="Q75">
        <v>8</v>
      </c>
      <c r="R75">
        <v>10</v>
      </c>
    </row>
    <row r="76" spans="2:18" x14ac:dyDescent="0.25">
      <c r="M76">
        <f t="shared" ref="M76:R76" si="14">SUM(M70:M75)</f>
        <v>90</v>
      </c>
      <c r="N76">
        <f t="shared" si="14"/>
        <v>95</v>
      </c>
      <c r="O76">
        <f t="shared" si="14"/>
        <v>90</v>
      </c>
      <c r="P76">
        <f t="shared" si="14"/>
        <v>90</v>
      </c>
      <c r="Q76">
        <f t="shared" si="14"/>
        <v>93</v>
      </c>
      <c r="R76">
        <f t="shared" si="14"/>
        <v>60</v>
      </c>
    </row>
    <row r="78" spans="2:18" x14ac:dyDescent="0.25">
      <c r="N78" t="s">
        <v>433</v>
      </c>
      <c r="O78" t="s">
        <v>434</v>
      </c>
    </row>
    <row r="79" spans="2:18" x14ac:dyDescent="0.25">
      <c r="I79" t="s">
        <v>1447</v>
      </c>
      <c r="J79">
        <v>0.3</v>
      </c>
      <c r="K79">
        <f>1</f>
        <v>1</v>
      </c>
      <c r="L79">
        <v>20</v>
      </c>
      <c r="M79">
        <f>J79*K79*L79</f>
        <v>6</v>
      </c>
      <c r="N79">
        <f>M79*2</f>
        <v>12</v>
      </c>
      <c r="O79">
        <f>M79*3</f>
        <v>18</v>
      </c>
    </row>
    <row r="80" spans="2:18" x14ac:dyDescent="0.25">
      <c r="I80" t="s">
        <v>1448</v>
      </c>
      <c r="J80">
        <v>1</v>
      </c>
      <c r="K80">
        <f>(20-17)/20</f>
        <v>0.15</v>
      </c>
      <c r="L80">
        <v>12</v>
      </c>
      <c r="M80">
        <f>J80*K80*L80</f>
        <v>1.7999999999999998</v>
      </c>
      <c r="N80">
        <f>M80*2</f>
        <v>3.5999999999999996</v>
      </c>
      <c r="O80">
        <f>M80*3</f>
        <v>5.3999999999999995</v>
      </c>
    </row>
    <row r="81" spans="2:15" x14ac:dyDescent="0.25">
      <c r="I81" t="s">
        <v>1449</v>
      </c>
      <c r="J81">
        <v>1</v>
      </c>
      <c r="K81">
        <f>(20-20)/20</f>
        <v>0</v>
      </c>
      <c r="L81">
        <v>12</v>
      </c>
      <c r="M81">
        <f>J81*K81*L81</f>
        <v>0</v>
      </c>
      <c r="N81">
        <f>M81*2</f>
        <v>0</v>
      </c>
      <c r="O81">
        <f>M81*3</f>
        <v>0</v>
      </c>
    </row>
    <row r="82" spans="2:15" x14ac:dyDescent="0.25">
      <c r="I82" t="s">
        <v>1450</v>
      </c>
      <c r="J82">
        <v>1</v>
      </c>
      <c r="K82">
        <f>(20-14)/20</f>
        <v>0.3</v>
      </c>
      <c r="L82">
        <v>6</v>
      </c>
      <c r="M82">
        <f>J82*K82*L82</f>
        <v>1.7999999999999998</v>
      </c>
      <c r="N82">
        <f>M82*2</f>
        <v>3.5999999999999996</v>
      </c>
      <c r="O82">
        <f>M82*3</f>
        <v>5.3999999999999995</v>
      </c>
    </row>
    <row r="84" spans="2:15" x14ac:dyDescent="0.25">
      <c r="H84" t="s">
        <v>1451</v>
      </c>
      <c r="I84" t="s">
        <v>1447</v>
      </c>
      <c r="J84">
        <v>0.3</v>
      </c>
      <c r="K84">
        <f>1</f>
        <v>1</v>
      </c>
      <c r="L84">
        <v>20</v>
      </c>
      <c r="M84">
        <f>J84*K84*L84</f>
        <v>6</v>
      </c>
      <c r="N84">
        <f>M84*2</f>
        <v>12</v>
      </c>
      <c r="O84">
        <f>M84*3</f>
        <v>18</v>
      </c>
    </row>
    <row r="85" spans="2:15" x14ac:dyDescent="0.25">
      <c r="I85" t="s">
        <v>1448</v>
      </c>
      <c r="J85">
        <v>1</v>
      </c>
      <c r="K85">
        <f>(20-13)/20</f>
        <v>0.35</v>
      </c>
      <c r="L85">
        <v>12</v>
      </c>
      <c r="M85">
        <f>J85*K85*L85</f>
        <v>4.1999999999999993</v>
      </c>
      <c r="N85">
        <f>M85*2</f>
        <v>8.3999999999999986</v>
      </c>
      <c r="O85">
        <f>M85*3</f>
        <v>12.599999999999998</v>
      </c>
    </row>
    <row r="86" spans="2:15" x14ac:dyDescent="0.25">
      <c r="I86" t="s">
        <v>1449</v>
      </c>
      <c r="J86">
        <v>1</v>
      </c>
      <c r="K86">
        <f>(20-16)/20</f>
        <v>0.2</v>
      </c>
      <c r="L86">
        <v>12</v>
      </c>
      <c r="M86">
        <f>J86*K86*L86</f>
        <v>2.4000000000000004</v>
      </c>
      <c r="N86">
        <f>M86*2</f>
        <v>4.8000000000000007</v>
      </c>
      <c r="O86">
        <f>M86*3</f>
        <v>7.2000000000000011</v>
      </c>
    </row>
    <row r="87" spans="2:15" x14ac:dyDescent="0.25">
      <c r="I87" t="s">
        <v>1450</v>
      </c>
      <c r="J87">
        <v>1</v>
      </c>
      <c r="K87">
        <f>(20-10)/20</f>
        <v>0.5</v>
      </c>
      <c r="L87">
        <v>6</v>
      </c>
      <c r="M87">
        <f>J87*K87*L87</f>
        <v>3</v>
      </c>
      <c r="N87">
        <f>M87*2</f>
        <v>6</v>
      </c>
      <c r="O87">
        <f>M87*3</f>
        <v>9</v>
      </c>
    </row>
    <row r="89" spans="2:15" x14ac:dyDescent="0.25">
      <c r="H89" t="s">
        <v>1452</v>
      </c>
      <c r="I89" t="s">
        <v>1447</v>
      </c>
      <c r="J89">
        <v>0.3</v>
      </c>
      <c r="K89">
        <f>1</f>
        <v>1</v>
      </c>
      <c r="L89">
        <v>20</v>
      </c>
      <c r="M89">
        <f>J89*K89*L89</f>
        <v>6</v>
      </c>
      <c r="N89">
        <f>M89*2</f>
        <v>12</v>
      </c>
      <c r="O89">
        <f>M89*3</f>
        <v>18</v>
      </c>
    </row>
    <row r="90" spans="2:15" x14ac:dyDescent="0.25">
      <c r="I90" t="s">
        <v>1448</v>
      </c>
      <c r="J90">
        <v>1</v>
      </c>
      <c r="K90">
        <f>(20-11)/20</f>
        <v>0.45</v>
      </c>
      <c r="L90">
        <v>12</v>
      </c>
      <c r="M90">
        <f>J90*K90*L90</f>
        <v>5.4</v>
      </c>
      <c r="N90">
        <f>M90*2</f>
        <v>10.8</v>
      </c>
      <c r="O90">
        <f>M90*3</f>
        <v>16.200000000000003</v>
      </c>
    </row>
    <row r="91" spans="2:15" x14ac:dyDescent="0.25">
      <c r="I91" t="s">
        <v>1449</v>
      </c>
      <c r="J91">
        <v>1</v>
      </c>
      <c r="K91">
        <f>(20-14)/20</f>
        <v>0.3</v>
      </c>
      <c r="L91">
        <v>12</v>
      </c>
      <c r="M91">
        <f>J91*K91*L91</f>
        <v>3.5999999999999996</v>
      </c>
      <c r="N91">
        <f>M91*2</f>
        <v>7.1999999999999993</v>
      </c>
      <c r="O91">
        <f>M91*3</f>
        <v>10.799999999999999</v>
      </c>
    </row>
    <row r="92" spans="2:15" x14ac:dyDescent="0.25">
      <c r="I92" t="s">
        <v>1450</v>
      </c>
      <c r="J92">
        <v>1</v>
      </c>
      <c r="K92">
        <f>(20-8)/20</f>
        <v>0.6</v>
      </c>
      <c r="L92">
        <v>6</v>
      </c>
      <c r="M92">
        <f>J92*K92*L92</f>
        <v>3.5999999999999996</v>
      </c>
      <c r="N92">
        <f>M92*2</f>
        <v>7.1999999999999993</v>
      </c>
      <c r="O92">
        <f>M92*3</f>
        <v>10.799999999999999</v>
      </c>
    </row>
    <row r="95" spans="2:15" x14ac:dyDescent="0.25">
      <c r="B95" t="s">
        <v>1458</v>
      </c>
      <c r="I95" t="s">
        <v>666</v>
      </c>
    </row>
    <row r="96" spans="2:15" x14ac:dyDescent="0.25">
      <c r="B96" t="s">
        <v>1457</v>
      </c>
      <c r="C96" t="s">
        <v>1455</v>
      </c>
      <c r="D96" t="s">
        <v>1149</v>
      </c>
      <c r="E96" t="s">
        <v>1150</v>
      </c>
      <c r="F96" t="s">
        <v>1456</v>
      </c>
      <c r="G96" t="s">
        <v>1454</v>
      </c>
      <c r="J96" t="s">
        <v>1457</v>
      </c>
      <c r="K96" t="s">
        <v>1455</v>
      </c>
      <c r="L96" t="s">
        <v>1149</v>
      </c>
      <c r="M96" t="s">
        <v>1150</v>
      </c>
      <c r="N96" t="s">
        <v>1456</v>
      </c>
      <c r="O96" t="s">
        <v>1454</v>
      </c>
    </row>
    <row r="97" spans="1:17" x14ac:dyDescent="0.25">
      <c r="A97" t="s">
        <v>212</v>
      </c>
      <c r="B97">
        <v>12</v>
      </c>
      <c r="C97">
        <v>12</v>
      </c>
      <c r="D97">
        <v>12</v>
      </c>
      <c r="E97">
        <v>12</v>
      </c>
      <c r="F97">
        <v>12</v>
      </c>
      <c r="G97">
        <v>12</v>
      </c>
      <c r="I97" t="s">
        <v>212</v>
      </c>
      <c r="J97">
        <v>8</v>
      </c>
      <c r="K97">
        <v>8</v>
      </c>
      <c r="L97">
        <v>8</v>
      </c>
      <c r="M97">
        <v>8</v>
      </c>
      <c r="N97">
        <v>8</v>
      </c>
      <c r="O97">
        <v>8</v>
      </c>
    </row>
    <row r="98" spans="1:17" x14ac:dyDescent="0.25">
      <c r="A98" t="s">
        <v>1241</v>
      </c>
      <c r="B98">
        <v>3</v>
      </c>
      <c r="C98">
        <v>3</v>
      </c>
      <c r="D98">
        <v>3</v>
      </c>
      <c r="E98">
        <v>3</v>
      </c>
      <c r="F98">
        <v>3</v>
      </c>
      <c r="G98">
        <v>3</v>
      </c>
      <c r="I98" t="s">
        <v>1241</v>
      </c>
      <c r="J98">
        <v>3</v>
      </c>
      <c r="K98">
        <v>3</v>
      </c>
      <c r="L98">
        <v>3</v>
      </c>
      <c r="M98">
        <v>3</v>
      </c>
      <c r="N98">
        <v>3</v>
      </c>
      <c r="O98">
        <v>3</v>
      </c>
    </row>
    <row r="99" spans="1:17" x14ac:dyDescent="0.25">
      <c r="A99" t="s">
        <v>824</v>
      </c>
      <c r="B99">
        <v>2</v>
      </c>
      <c r="C99">
        <v>2</v>
      </c>
      <c r="D99">
        <v>2</v>
      </c>
      <c r="E99">
        <v>2</v>
      </c>
      <c r="F99">
        <v>2</v>
      </c>
      <c r="G99">
        <v>2</v>
      </c>
      <c r="I99" t="s">
        <v>824</v>
      </c>
      <c r="J99">
        <v>2</v>
      </c>
      <c r="K99">
        <v>2</v>
      </c>
      <c r="L99">
        <v>2</v>
      </c>
      <c r="M99">
        <v>2</v>
      </c>
      <c r="N99">
        <v>2</v>
      </c>
      <c r="O99">
        <v>2</v>
      </c>
    </row>
    <row r="100" spans="1:17" x14ac:dyDescent="0.25">
      <c r="A100" t="s">
        <v>1453</v>
      </c>
      <c r="B100">
        <v>10</v>
      </c>
      <c r="C100">
        <v>5</v>
      </c>
      <c r="D100">
        <v>5</v>
      </c>
      <c r="E100">
        <v>1</v>
      </c>
      <c r="F100">
        <v>3</v>
      </c>
      <c r="G100">
        <v>10</v>
      </c>
      <c r="I100" t="s">
        <v>1453</v>
      </c>
      <c r="J100">
        <v>10</v>
      </c>
      <c r="K100">
        <v>5</v>
      </c>
      <c r="L100">
        <v>5</v>
      </c>
      <c r="M100">
        <v>1</v>
      </c>
      <c r="N100">
        <v>3</v>
      </c>
      <c r="O100">
        <v>10</v>
      </c>
    </row>
    <row r="101" spans="1:17" x14ac:dyDescent="0.25">
      <c r="A101" t="s">
        <v>827</v>
      </c>
      <c r="B101">
        <v>0</v>
      </c>
      <c r="C101">
        <v>0</v>
      </c>
      <c r="D101">
        <v>2</v>
      </c>
      <c r="E101">
        <v>2</v>
      </c>
      <c r="F101">
        <v>2</v>
      </c>
      <c r="G101">
        <v>0</v>
      </c>
      <c r="I101" t="s">
        <v>827</v>
      </c>
      <c r="J101">
        <v>0</v>
      </c>
      <c r="K101">
        <v>0</v>
      </c>
      <c r="L101">
        <v>2</v>
      </c>
      <c r="M101">
        <v>2</v>
      </c>
      <c r="N101">
        <v>2</v>
      </c>
      <c r="O101">
        <v>0</v>
      </c>
    </row>
    <row r="102" spans="1:17" x14ac:dyDescent="0.25">
      <c r="A102" t="s">
        <v>1225</v>
      </c>
      <c r="B102">
        <v>1</v>
      </c>
      <c r="C102">
        <v>1</v>
      </c>
      <c r="D102">
        <v>1</v>
      </c>
      <c r="E102">
        <v>1</v>
      </c>
      <c r="F102">
        <v>1</v>
      </c>
      <c r="G102">
        <v>1</v>
      </c>
      <c r="I102" t="s">
        <v>1225</v>
      </c>
      <c r="J102">
        <v>1</v>
      </c>
      <c r="K102">
        <v>1</v>
      </c>
      <c r="L102">
        <v>1</v>
      </c>
      <c r="M102">
        <v>1</v>
      </c>
      <c r="N102">
        <v>1</v>
      </c>
      <c r="O102">
        <v>1</v>
      </c>
    </row>
    <row r="103" spans="1:17" x14ac:dyDescent="0.25">
      <c r="A103" t="s">
        <v>797</v>
      </c>
      <c r="B103">
        <v>3</v>
      </c>
      <c r="C103">
        <v>3</v>
      </c>
      <c r="D103">
        <v>3</v>
      </c>
      <c r="E103">
        <v>3</v>
      </c>
      <c r="F103">
        <v>3</v>
      </c>
      <c r="G103">
        <v>3</v>
      </c>
      <c r="I103" t="s">
        <v>797</v>
      </c>
      <c r="J103">
        <v>3</v>
      </c>
      <c r="K103">
        <v>3</v>
      </c>
      <c r="L103">
        <v>3</v>
      </c>
      <c r="M103">
        <v>3</v>
      </c>
      <c r="N103">
        <v>3</v>
      </c>
      <c r="O103">
        <v>3</v>
      </c>
    </row>
    <row r="105" spans="1:17" x14ac:dyDescent="0.25">
      <c r="B105">
        <f t="shared" ref="B105:G105" si="15">B97-B98-B99-B100-B101-B102-B103</f>
        <v>-7</v>
      </c>
      <c r="C105">
        <f t="shared" si="15"/>
        <v>-2</v>
      </c>
      <c r="D105">
        <f t="shared" si="15"/>
        <v>-4</v>
      </c>
      <c r="E105">
        <f t="shared" si="15"/>
        <v>0</v>
      </c>
      <c r="F105">
        <f t="shared" si="15"/>
        <v>-2</v>
      </c>
      <c r="G105">
        <f t="shared" si="15"/>
        <v>-7</v>
      </c>
      <c r="J105">
        <f t="shared" ref="J105:O105" si="16">J97-J98-J99-J100-J101-J102-J103</f>
        <v>-11</v>
      </c>
      <c r="K105">
        <f t="shared" si="16"/>
        <v>-6</v>
      </c>
      <c r="L105">
        <f t="shared" si="16"/>
        <v>-8</v>
      </c>
      <c r="M105">
        <f t="shared" si="16"/>
        <v>-4</v>
      </c>
      <c r="N105">
        <f t="shared" si="16"/>
        <v>-6</v>
      </c>
      <c r="O105">
        <f t="shared" si="16"/>
        <v>-11</v>
      </c>
    </row>
    <row r="107" spans="1:17" x14ac:dyDescent="0.25">
      <c r="A107" t="s">
        <v>509</v>
      </c>
      <c r="B107">
        <v>10</v>
      </c>
      <c r="C107">
        <v>10</v>
      </c>
      <c r="D107">
        <v>8</v>
      </c>
      <c r="E107">
        <v>8</v>
      </c>
      <c r="F107">
        <v>8</v>
      </c>
      <c r="G107">
        <v>10</v>
      </c>
      <c r="J107">
        <v>10</v>
      </c>
      <c r="K107">
        <v>10</v>
      </c>
      <c r="L107">
        <v>10</v>
      </c>
      <c r="M107">
        <v>10</v>
      </c>
      <c r="N107">
        <v>10</v>
      </c>
      <c r="O107">
        <v>10</v>
      </c>
    </row>
    <row r="110" spans="1:17" x14ac:dyDescent="0.25">
      <c r="J110">
        <v>18</v>
      </c>
      <c r="K110">
        <v>19</v>
      </c>
      <c r="M110">
        <v>18</v>
      </c>
      <c r="N110">
        <v>19</v>
      </c>
      <c r="P110">
        <v>18</v>
      </c>
      <c r="Q110">
        <v>19</v>
      </c>
    </row>
    <row r="111" spans="1:17" x14ac:dyDescent="0.25">
      <c r="J111">
        <v>18</v>
      </c>
      <c r="K111">
        <v>19</v>
      </c>
      <c r="M111">
        <v>17</v>
      </c>
      <c r="N111">
        <v>18</v>
      </c>
      <c r="P111">
        <v>18</v>
      </c>
      <c r="Q111">
        <v>19</v>
      </c>
    </row>
    <row r="112" spans="1:17" x14ac:dyDescent="0.25">
      <c r="B112" t="s">
        <v>784</v>
      </c>
      <c r="C112">
        <v>1</v>
      </c>
      <c r="D112">
        <v>1</v>
      </c>
      <c r="F112" t="s">
        <v>1471</v>
      </c>
      <c r="G112">
        <v>1</v>
      </c>
      <c r="H112">
        <v>1</v>
      </c>
      <c r="J112">
        <v>18</v>
      </c>
      <c r="K112">
        <v>19</v>
      </c>
      <c r="M112">
        <v>17</v>
      </c>
      <c r="N112">
        <v>18</v>
      </c>
      <c r="P112">
        <v>15</v>
      </c>
      <c r="Q112">
        <v>16</v>
      </c>
    </row>
    <row r="113" spans="2:17" x14ac:dyDescent="0.25">
      <c r="B113" t="s">
        <v>509</v>
      </c>
      <c r="C113">
        <v>10</v>
      </c>
      <c r="D113">
        <v>10</v>
      </c>
      <c r="F113" t="s">
        <v>509</v>
      </c>
      <c r="G113">
        <v>3</v>
      </c>
      <c r="H113">
        <v>3</v>
      </c>
      <c r="J113">
        <v>18</v>
      </c>
      <c r="K113">
        <v>19</v>
      </c>
      <c r="M113">
        <v>18</v>
      </c>
      <c r="N113">
        <v>19</v>
      </c>
      <c r="P113">
        <v>10</v>
      </c>
      <c r="Q113">
        <v>11</v>
      </c>
    </row>
    <row r="114" spans="2:17" x14ac:dyDescent="0.25">
      <c r="B114" t="s">
        <v>795</v>
      </c>
      <c r="C114">
        <v>1</v>
      </c>
      <c r="D114">
        <v>1</v>
      </c>
      <c r="F114" t="s">
        <v>795</v>
      </c>
      <c r="G114">
        <v>2</v>
      </c>
      <c r="H114">
        <v>2</v>
      </c>
      <c r="J114">
        <v>15</v>
      </c>
      <c r="K114">
        <v>18</v>
      </c>
      <c r="M114">
        <v>17</v>
      </c>
      <c r="N114">
        <v>20</v>
      </c>
      <c r="P114">
        <v>18</v>
      </c>
      <c r="Q114">
        <v>21</v>
      </c>
    </row>
    <row r="115" spans="2:17" x14ac:dyDescent="0.25">
      <c r="B115" t="s">
        <v>796</v>
      </c>
      <c r="C115">
        <v>1</v>
      </c>
      <c r="D115">
        <f>4/6</f>
        <v>0.66666666666666663</v>
      </c>
      <c r="F115" t="s">
        <v>796</v>
      </c>
      <c r="G115">
        <v>1</v>
      </c>
      <c r="H115">
        <v>1</v>
      </c>
      <c r="J115">
        <v>3</v>
      </c>
      <c r="K115">
        <v>4</v>
      </c>
      <c r="M115">
        <v>3</v>
      </c>
      <c r="N115">
        <v>4</v>
      </c>
      <c r="P115">
        <v>15</v>
      </c>
      <c r="Q115">
        <v>16</v>
      </c>
    </row>
    <row r="116" spans="2:17" x14ac:dyDescent="0.25">
      <c r="C116">
        <f>C112*C113*C114*C115</f>
        <v>10</v>
      </c>
      <c r="D116">
        <f>D112*D113*D114*D115</f>
        <v>6.6666666666666661</v>
      </c>
      <c r="G116">
        <f>G112*G113*G114*G115</f>
        <v>6</v>
      </c>
      <c r="H116">
        <f>H112*H113*H114*H115</f>
        <v>6</v>
      </c>
      <c r="J116">
        <f>SUM(J110:J115)</f>
        <v>90</v>
      </c>
      <c r="K116">
        <f>SUM(K110:K115)</f>
        <v>98</v>
      </c>
      <c r="M116">
        <f>SUM(M110:M115)</f>
        <v>90</v>
      </c>
      <c r="N116">
        <f>SUM(N110:N115)</f>
        <v>98</v>
      </c>
      <c r="P116">
        <f>SUM(P110:P115)</f>
        <v>94</v>
      </c>
      <c r="Q116">
        <f>SUM(Q110:Q115)</f>
        <v>102</v>
      </c>
    </row>
    <row r="117" spans="2:17" x14ac:dyDescent="0.25">
      <c r="C117">
        <f>C116+D116</f>
        <v>16.666666666666664</v>
      </c>
      <c r="G117">
        <f>G116+H116</f>
        <v>12</v>
      </c>
    </row>
    <row r="118" spans="2:17" x14ac:dyDescent="0.25">
      <c r="O118">
        <f>50+15+15</f>
        <v>80</v>
      </c>
    </row>
    <row r="119" spans="2:17" x14ac:dyDescent="0.25">
      <c r="C119" t="s">
        <v>212</v>
      </c>
      <c r="D119">
        <v>10</v>
      </c>
      <c r="F119" t="s">
        <v>212</v>
      </c>
      <c r="G119">
        <v>10</v>
      </c>
      <c r="I119" t="s">
        <v>212</v>
      </c>
      <c r="J119">
        <v>10</v>
      </c>
    </row>
    <row r="120" spans="2:17" x14ac:dyDescent="0.25">
      <c r="C120" t="s">
        <v>634</v>
      </c>
      <c r="D120">
        <v>-4</v>
      </c>
      <c r="F120" t="s">
        <v>634</v>
      </c>
      <c r="G120">
        <v>-4</v>
      </c>
      <c r="I120" t="s">
        <v>634</v>
      </c>
      <c r="J120">
        <v>-4</v>
      </c>
    </row>
    <row r="121" spans="2:17" x14ac:dyDescent="0.25">
      <c r="C121" t="s">
        <v>824</v>
      </c>
      <c r="D121">
        <f>-7</f>
        <v>-7</v>
      </c>
      <c r="F121" t="s">
        <v>824</v>
      </c>
      <c r="G121">
        <f>-7</f>
        <v>-7</v>
      </c>
      <c r="I121" t="s">
        <v>1468</v>
      </c>
      <c r="J121">
        <f>-9</f>
        <v>-9</v>
      </c>
      <c r="M121">
        <f>-2</f>
        <v>-2</v>
      </c>
    </row>
    <row r="122" spans="2:17" x14ac:dyDescent="0.25">
      <c r="C122" t="s">
        <v>1225</v>
      </c>
      <c r="D122">
        <v>-1</v>
      </c>
      <c r="F122" t="s">
        <v>1225</v>
      </c>
      <c r="G122">
        <v>-1</v>
      </c>
      <c r="I122" t="s">
        <v>1225</v>
      </c>
      <c r="J122">
        <v>-1</v>
      </c>
      <c r="M122">
        <f>3</f>
        <v>3</v>
      </c>
    </row>
    <row r="123" spans="2:17" x14ac:dyDescent="0.25">
      <c r="C123" t="s">
        <v>644</v>
      </c>
      <c r="D123">
        <v>-1</v>
      </c>
      <c r="F123" t="s">
        <v>644</v>
      </c>
      <c r="G123">
        <v>-1</v>
      </c>
      <c r="I123" t="s">
        <v>644</v>
      </c>
      <c r="J123">
        <v>-1</v>
      </c>
      <c r="M123">
        <v>0.5</v>
      </c>
    </row>
    <row r="124" spans="2:17" x14ac:dyDescent="0.25">
      <c r="C124" t="s">
        <v>642</v>
      </c>
      <c r="D124">
        <v>-1</v>
      </c>
      <c r="F124" t="s">
        <v>642</v>
      </c>
      <c r="G124">
        <v>-1</v>
      </c>
      <c r="I124" t="s">
        <v>642</v>
      </c>
      <c r="J124">
        <v>-1</v>
      </c>
      <c r="M124">
        <f>M121*M122*M123</f>
        <v>-3</v>
      </c>
    </row>
    <row r="125" spans="2:17" x14ac:dyDescent="0.25">
      <c r="C125" t="s">
        <v>805</v>
      </c>
      <c r="D125">
        <v>-2</v>
      </c>
      <c r="F125" t="s">
        <v>805</v>
      </c>
      <c r="G125">
        <v>-2</v>
      </c>
      <c r="I125" t="s">
        <v>805</v>
      </c>
      <c r="J125">
        <v>-2</v>
      </c>
    </row>
    <row r="126" spans="2:17" x14ac:dyDescent="0.25">
      <c r="C126" t="s">
        <v>1479</v>
      </c>
      <c r="D126">
        <v>-2</v>
      </c>
      <c r="F126" t="s">
        <v>1479</v>
      </c>
      <c r="G126">
        <v>-2</v>
      </c>
      <c r="I126" t="s">
        <v>1479</v>
      </c>
      <c r="J126">
        <v>-2</v>
      </c>
    </row>
    <row r="127" spans="2:17" x14ac:dyDescent="0.25">
      <c r="C127" t="s">
        <v>682</v>
      </c>
      <c r="D127">
        <v>-3</v>
      </c>
      <c r="I127" t="s">
        <v>682</v>
      </c>
      <c r="J127">
        <v>-3</v>
      </c>
      <c r="M127">
        <v>1</v>
      </c>
      <c r="N127">
        <v>2</v>
      </c>
      <c r="O127">
        <v>3</v>
      </c>
      <c r="P127">
        <v>4</v>
      </c>
      <c r="Q127">
        <v>5</v>
      </c>
    </row>
    <row r="128" spans="2:17" x14ac:dyDescent="0.25">
      <c r="C128" t="s">
        <v>830</v>
      </c>
      <c r="D128">
        <v>-3</v>
      </c>
      <c r="F128" t="s">
        <v>830</v>
      </c>
      <c r="G128">
        <v>-3</v>
      </c>
      <c r="L128">
        <f>M124</f>
        <v>-3</v>
      </c>
      <c r="M128">
        <f>M124</f>
        <v>-3</v>
      </c>
      <c r="N128">
        <f>L128+M128</f>
        <v>-6</v>
      </c>
      <c r="O128">
        <f>M128+N128</f>
        <v>-9</v>
      </c>
      <c r="P128">
        <f>N128+O128</f>
        <v>-15</v>
      </c>
      <c r="Q128">
        <f>O128+P128</f>
        <v>-24</v>
      </c>
    </row>
    <row r="129" spans="3:14" x14ac:dyDescent="0.25">
      <c r="C129" t="s">
        <v>1480</v>
      </c>
      <c r="D129">
        <v>-10</v>
      </c>
    </row>
    <row r="132" spans="3:14" x14ac:dyDescent="0.25">
      <c r="C132" t="s">
        <v>1463</v>
      </c>
      <c r="D132">
        <v>-3</v>
      </c>
      <c r="F132" t="s">
        <v>1463</v>
      </c>
      <c r="G132">
        <v>-3</v>
      </c>
      <c r="I132" t="s">
        <v>1463</v>
      </c>
      <c r="J132">
        <v>-3</v>
      </c>
    </row>
    <row r="134" spans="3:14" x14ac:dyDescent="0.25">
      <c r="D134">
        <f>SUM(D119:D133)</f>
        <v>-27</v>
      </c>
      <c r="G134">
        <f>SUM(G119:G133)</f>
        <v>-14</v>
      </c>
      <c r="J134">
        <f>SUM(J119:J133)</f>
        <v>-16</v>
      </c>
    </row>
    <row r="136" spans="3:14" x14ac:dyDescent="0.25">
      <c r="F136">
        <v>1</v>
      </c>
      <c r="G136">
        <v>2</v>
      </c>
      <c r="H136">
        <v>3</v>
      </c>
      <c r="I136">
        <v>4</v>
      </c>
      <c r="J136">
        <v>5</v>
      </c>
      <c r="K136">
        <v>6</v>
      </c>
      <c r="L136">
        <v>7</v>
      </c>
      <c r="M136">
        <v>8</v>
      </c>
      <c r="N136">
        <v>9</v>
      </c>
    </row>
    <row r="137" spans="3:14" x14ac:dyDescent="0.25">
      <c r="F137" t="s">
        <v>1273</v>
      </c>
      <c r="G137" t="s">
        <v>836</v>
      </c>
      <c r="H137" t="s">
        <v>839</v>
      </c>
      <c r="I137" t="s">
        <v>734</v>
      </c>
      <c r="J137" t="s">
        <v>847</v>
      </c>
      <c r="K137" t="s">
        <v>855</v>
      </c>
      <c r="L137" t="s">
        <v>1331</v>
      </c>
      <c r="M137" t="s">
        <v>861</v>
      </c>
      <c r="N137" t="s">
        <v>750</v>
      </c>
    </row>
    <row r="138" spans="3:14" x14ac:dyDescent="0.25">
      <c r="F138" t="s">
        <v>1472</v>
      </c>
      <c r="G138" t="s">
        <v>838</v>
      </c>
      <c r="H138" t="s">
        <v>843</v>
      </c>
      <c r="I138" t="s">
        <v>845</v>
      </c>
      <c r="J138" t="s">
        <v>940</v>
      </c>
      <c r="K138" t="s">
        <v>853</v>
      </c>
      <c r="L138" t="s">
        <v>856</v>
      </c>
      <c r="M138" t="s">
        <v>746</v>
      </c>
      <c r="N138" t="s">
        <v>749</v>
      </c>
    </row>
    <row r="139" spans="3:14" x14ac:dyDescent="0.25">
      <c r="F139" t="s">
        <v>832</v>
      </c>
      <c r="G139" t="s">
        <v>1473</v>
      </c>
      <c r="I139" t="s">
        <v>846</v>
      </c>
      <c r="J139" t="s">
        <v>941</v>
      </c>
      <c r="L139" t="s">
        <v>1475</v>
      </c>
    </row>
    <row r="140" spans="3:14" x14ac:dyDescent="0.25">
      <c r="F140" t="s">
        <v>834</v>
      </c>
      <c r="H140" t="s">
        <v>1474</v>
      </c>
      <c r="N140" t="s">
        <v>1476</v>
      </c>
    </row>
    <row r="141" spans="3:14" x14ac:dyDescent="0.25">
      <c r="H141" t="s">
        <v>841</v>
      </c>
      <c r="N141" t="s">
        <v>1477</v>
      </c>
    </row>
    <row r="142" spans="3:14" x14ac:dyDescent="0.25">
      <c r="H142" t="s">
        <v>927</v>
      </c>
      <c r="N142" t="s">
        <v>1478</v>
      </c>
    </row>
    <row r="144" spans="3:14" x14ac:dyDescent="0.25">
      <c r="J144">
        <f>24+2+6</f>
        <v>32</v>
      </c>
    </row>
    <row r="145" spans="10:14" x14ac:dyDescent="0.25">
      <c r="J145">
        <f>J144*4</f>
        <v>128</v>
      </c>
    </row>
    <row r="146" spans="10:14" x14ac:dyDescent="0.25">
      <c r="N146">
        <f>14-4-3-2-1-1-1-1-1</f>
        <v>0</v>
      </c>
    </row>
    <row r="149" spans="10:14" x14ac:dyDescent="0.25">
      <c r="K149">
        <f>(14)*5+6</f>
        <v>76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2:V108"/>
  <sheetViews>
    <sheetView workbookViewId="0">
      <selection activeCell="L15" sqref="L15"/>
    </sheetView>
  </sheetViews>
  <sheetFormatPr defaultRowHeight="15" x14ac:dyDescent="0.25"/>
  <cols>
    <col min="2" max="2" width="11" customWidth="1"/>
  </cols>
  <sheetData>
    <row r="2" spans="1:22" x14ac:dyDescent="0.25">
      <c r="C2" t="s">
        <v>1576</v>
      </c>
      <c r="L2" t="s">
        <v>2343</v>
      </c>
      <c r="Q2" t="s">
        <v>1576</v>
      </c>
    </row>
    <row r="3" spans="1:22" x14ac:dyDescent="0.25">
      <c r="B3" t="s">
        <v>212</v>
      </c>
      <c r="C3">
        <v>10.5</v>
      </c>
      <c r="D3">
        <v>10.5</v>
      </c>
      <c r="E3">
        <v>10.5</v>
      </c>
      <c r="F3">
        <v>10.5</v>
      </c>
      <c r="G3">
        <v>10.5</v>
      </c>
      <c r="H3">
        <v>10.5</v>
      </c>
      <c r="I3">
        <f>3.5+9+2</f>
        <v>14.5</v>
      </c>
      <c r="J3">
        <f>5.5+1+1+1+2</f>
        <v>10.5</v>
      </c>
      <c r="K3">
        <f>3.5+2+1+7+2</f>
        <v>15.5</v>
      </c>
      <c r="L3" t="s">
        <v>2344</v>
      </c>
      <c r="P3" t="s">
        <v>212</v>
      </c>
      <c r="Q3">
        <f t="shared" ref="Q3:V3" si="0">1.5+5</f>
        <v>6.5</v>
      </c>
      <c r="R3">
        <f t="shared" si="0"/>
        <v>6.5</v>
      </c>
      <c r="S3">
        <f t="shared" si="0"/>
        <v>6.5</v>
      </c>
      <c r="T3">
        <f t="shared" si="0"/>
        <v>6.5</v>
      </c>
      <c r="U3">
        <f t="shared" si="0"/>
        <v>6.5</v>
      </c>
      <c r="V3">
        <f t="shared" si="0"/>
        <v>6.5</v>
      </c>
    </row>
    <row r="4" spans="1:22" x14ac:dyDescent="0.25">
      <c r="B4" t="s">
        <v>1487</v>
      </c>
      <c r="C4">
        <v>2</v>
      </c>
      <c r="D4">
        <v>2</v>
      </c>
      <c r="E4">
        <v>2</v>
      </c>
      <c r="F4">
        <v>2</v>
      </c>
      <c r="G4">
        <v>2</v>
      </c>
      <c r="H4">
        <v>2</v>
      </c>
      <c r="I4">
        <f>I3*4+2</f>
        <v>60</v>
      </c>
      <c r="J4">
        <f>J3*3</f>
        <v>31.5</v>
      </c>
      <c r="K4">
        <f>K3*4</f>
        <v>62</v>
      </c>
      <c r="L4" t="s">
        <v>2345</v>
      </c>
      <c r="P4" t="s">
        <v>1487</v>
      </c>
      <c r="Q4">
        <v>2</v>
      </c>
      <c r="R4">
        <v>2</v>
      </c>
      <c r="S4">
        <v>2</v>
      </c>
      <c r="T4">
        <v>2</v>
      </c>
      <c r="U4">
        <v>2</v>
      </c>
      <c r="V4">
        <v>2</v>
      </c>
    </row>
    <row r="5" spans="1:22" x14ac:dyDescent="0.25">
      <c r="B5" t="s">
        <v>675</v>
      </c>
      <c r="C5">
        <v>1</v>
      </c>
      <c r="D5">
        <v>1</v>
      </c>
      <c r="E5">
        <v>2</v>
      </c>
      <c r="F5">
        <v>2</v>
      </c>
      <c r="G5">
        <v>3</v>
      </c>
      <c r="H5">
        <v>3</v>
      </c>
      <c r="J5">
        <f>16-1-3-1-1</f>
        <v>10</v>
      </c>
      <c r="K5">
        <f>15-3-1-1</f>
        <v>10</v>
      </c>
      <c r="L5">
        <v>40</v>
      </c>
      <c r="M5">
        <f>L5/2</f>
        <v>20</v>
      </c>
      <c r="N5">
        <v>20</v>
      </c>
      <c r="P5" t="s">
        <v>675</v>
      </c>
      <c r="Q5">
        <v>1</v>
      </c>
      <c r="R5">
        <v>1</v>
      </c>
      <c r="S5">
        <v>2</v>
      </c>
      <c r="T5">
        <v>2</v>
      </c>
      <c r="U5">
        <v>3</v>
      </c>
      <c r="V5">
        <v>3</v>
      </c>
    </row>
    <row r="6" spans="1:22" x14ac:dyDescent="0.25">
      <c r="B6" t="s">
        <v>1486</v>
      </c>
      <c r="C6">
        <v>1</v>
      </c>
      <c r="D6">
        <v>1</v>
      </c>
      <c r="E6">
        <v>1</v>
      </c>
      <c r="F6">
        <v>1</v>
      </c>
      <c r="G6">
        <v>1</v>
      </c>
      <c r="H6">
        <v>1</v>
      </c>
      <c r="L6" t="s">
        <v>2348</v>
      </c>
      <c r="P6" t="s">
        <v>1486</v>
      </c>
      <c r="Q6">
        <v>1</v>
      </c>
      <c r="R6">
        <v>1</v>
      </c>
      <c r="S6">
        <v>1</v>
      </c>
      <c r="T6">
        <v>1</v>
      </c>
      <c r="U6">
        <v>1</v>
      </c>
      <c r="V6">
        <v>1</v>
      </c>
    </row>
    <row r="7" spans="1:22" x14ac:dyDescent="0.25">
      <c r="B7" t="s">
        <v>1484</v>
      </c>
      <c r="C7">
        <v>5</v>
      </c>
      <c r="D7">
        <v>1</v>
      </c>
      <c r="E7">
        <v>5</v>
      </c>
      <c r="F7">
        <v>1</v>
      </c>
      <c r="G7">
        <v>5</v>
      </c>
      <c r="H7">
        <v>1</v>
      </c>
      <c r="I7" t="s">
        <v>1577</v>
      </c>
      <c r="L7">
        <v>170</v>
      </c>
      <c r="M7">
        <f>L7/2</f>
        <v>85</v>
      </c>
      <c r="N7">
        <v>48</v>
      </c>
      <c r="P7" t="s">
        <v>1484</v>
      </c>
      <c r="Q7">
        <v>9</v>
      </c>
      <c r="R7">
        <v>1</v>
      </c>
      <c r="S7">
        <v>9</v>
      </c>
      <c r="T7">
        <v>1</v>
      </c>
      <c r="U7">
        <v>9</v>
      </c>
      <c r="V7">
        <v>1</v>
      </c>
    </row>
    <row r="8" spans="1:22" x14ac:dyDescent="0.25">
      <c r="B8" t="s">
        <v>1485</v>
      </c>
      <c r="C8">
        <v>1</v>
      </c>
      <c r="D8">
        <v>13</v>
      </c>
      <c r="E8">
        <v>1</v>
      </c>
      <c r="F8">
        <v>13</v>
      </c>
      <c r="G8">
        <v>1</v>
      </c>
      <c r="H8">
        <v>13</v>
      </c>
      <c r="I8" t="s">
        <v>1577</v>
      </c>
      <c r="L8" t="s">
        <v>2346</v>
      </c>
      <c r="P8" t="s">
        <v>1485</v>
      </c>
      <c r="Q8">
        <v>1</v>
      </c>
      <c r="R8">
        <v>25</v>
      </c>
      <c r="S8">
        <v>1</v>
      </c>
      <c r="T8">
        <v>25</v>
      </c>
      <c r="U8">
        <v>1</v>
      </c>
      <c r="V8">
        <v>25</v>
      </c>
    </row>
    <row r="9" spans="1:22" x14ac:dyDescent="0.25">
      <c r="B9" t="s">
        <v>231</v>
      </c>
      <c r="C9">
        <f t="shared" ref="C9:H9" si="1">C3*C4*C5*C6*C7*C8</f>
        <v>105</v>
      </c>
      <c r="D9">
        <f t="shared" si="1"/>
        <v>273</v>
      </c>
      <c r="E9">
        <f t="shared" si="1"/>
        <v>210</v>
      </c>
      <c r="F9">
        <f t="shared" si="1"/>
        <v>546</v>
      </c>
      <c r="G9">
        <f t="shared" si="1"/>
        <v>315</v>
      </c>
      <c r="H9">
        <f t="shared" si="1"/>
        <v>819</v>
      </c>
      <c r="I9">
        <f>210*0.2</f>
        <v>42</v>
      </c>
      <c r="L9">
        <v>40</v>
      </c>
      <c r="M9">
        <f>L9/2</f>
        <v>20</v>
      </c>
      <c r="N9">
        <v>20</v>
      </c>
      <c r="P9" t="s">
        <v>231</v>
      </c>
      <c r="Q9">
        <f t="shared" ref="Q9:V9" si="2">Q3*Q4*Q5*Q6*Q7*Q8</f>
        <v>117</v>
      </c>
      <c r="R9">
        <f t="shared" si="2"/>
        <v>325</v>
      </c>
      <c r="S9">
        <f t="shared" si="2"/>
        <v>234</v>
      </c>
      <c r="T9">
        <f t="shared" si="2"/>
        <v>650</v>
      </c>
      <c r="U9">
        <f t="shared" si="2"/>
        <v>351</v>
      </c>
      <c r="V9">
        <f t="shared" si="2"/>
        <v>975</v>
      </c>
    </row>
    <row r="10" spans="1:22" x14ac:dyDescent="0.25">
      <c r="A10" t="s">
        <v>1585</v>
      </c>
      <c r="C10">
        <f t="shared" ref="C10:H10" si="3">(C9-80)/3</f>
        <v>8.3333333333333339</v>
      </c>
      <c r="D10">
        <f t="shared" si="3"/>
        <v>64.333333333333329</v>
      </c>
      <c r="E10">
        <f t="shared" si="3"/>
        <v>43.333333333333336</v>
      </c>
      <c r="F10">
        <f t="shared" si="3"/>
        <v>155.33333333333334</v>
      </c>
      <c r="G10">
        <f t="shared" si="3"/>
        <v>78.333333333333329</v>
      </c>
      <c r="H10">
        <f t="shared" si="3"/>
        <v>246.33333333333334</v>
      </c>
      <c r="I10">
        <f>70*2*1.25</f>
        <v>175</v>
      </c>
      <c r="J10">
        <f>98*3+80</f>
        <v>374</v>
      </c>
      <c r="L10" t="s">
        <v>2347</v>
      </c>
      <c r="Q10">
        <f t="shared" ref="Q10:V10" si="4">(Q9-80)/3</f>
        <v>12.333333333333334</v>
      </c>
      <c r="R10">
        <f t="shared" si="4"/>
        <v>81.666666666666671</v>
      </c>
      <c r="S10">
        <f t="shared" si="4"/>
        <v>51.333333333333336</v>
      </c>
      <c r="T10">
        <f t="shared" si="4"/>
        <v>190</v>
      </c>
      <c r="U10">
        <f t="shared" si="4"/>
        <v>90.333333333333329</v>
      </c>
      <c r="V10">
        <f t="shared" si="4"/>
        <v>298.33333333333331</v>
      </c>
    </row>
    <row r="11" spans="1:22" x14ac:dyDescent="0.25">
      <c r="C11" t="s">
        <v>1578</v>
      </c>
      <c r="I11">
        <v>39</v>
      </c>
      <c r="L11">
        <v>20</v>
      </c>
      <c r="M11">
        <f>L11/2</f>
        <v>10</v>
      </c>
      <c r="N11">
        <v>10</v>
      </c>
    </row>
    <row r="12" spans="1:22" x14ac:dyDescent="0.25">
      <c r="B12" t="s">
        <v>212</v>
      </c>
      <c r="C12">
        <f t="shared" ref="C12:H12" si="5">3.5*3+3</f>
        <v>13.5</v>
      </c>
      <c r="D12">
        <f t="shared" si="5"/>
        <v>13.5</v>
      </c>
      <c r="E12">
        <f t="shared" si="5"/>
        <v>13.5</v>
      </c>
      <c r="F12">
        <f t="shared" si="5"/>
        <v>13.5</v>
      </c>
      <c r="G12">
        <f t="shared" si="5"/>
        <v>13.5</v>
      </c>
      <c r="H12">
        <f t="shared" si="5"/>
        <v>13.5</v>
      </c>
      <c r="Q12" t="s">
        <v>1576</v>
      </c>
    </row>
    <row r="13" spans="1:22" x14ac:dyDescent="0.25">
      <c r="B13" t="s">
        <v>1487</v>
      </c>
      <c r="C13">
        <v>2</v>
      </c>
      <c r="D13">
        <v>2</v>
      </c>
      <c r="E13">
        <v>2</v>
      </c>
      <c r="F13">
        <v>2</v>
      </c>
      <c r="G13">
        <v>2</v>
      </c>
      <c r="H13">
        <v>2</v>
      </c>
      <c r="P13" t="s">
        <v>212</v>
      </c>
      <c r="Q13">
        <f t="shared" ref="Q13:V13" si="6">5*3.5</f>
        <v>17.5</v>
      </c>
      <c r="R13">
        <f t="shared" si="6"/>
        <v>17.5</v>
      </c>
      <c r="S13">
        <f t="shared" si="6"/>
        <v>17.5</v>
      </c>
      <c r="T13">
        <f t="shared" si="6"/>
        <v>17.5</v>
      </c>
      <c r="U13">
        <f t="shared" si="6"/>
        <v>17.5</v>
      </c>
      <c r="V13">
        <f t="shared" si="6"/>
        <v>17.5</v>
      </c>
    </row>
    <row r="14" spans="1:22" x14ac:dyDescent="0.25">
      <c r="B14" t="s">
        <v>675</v>
      </c>
      <c r="C14">
        <v>1</v>
      </c>
      <c r="D14">
        <v>1</v>
      </c>
      <c r="E14">
        <v>1</v>
      </c>
      <c r="F14">
        <v>1</v>
      </c>
      <c r="G14">
        <v>1</v>
      </c>
      <c r="H14">
        <v>1</v>
      </c>
      <c r="P14" t="s">
        <v>1487</v>
      </c>
      <c r="Q14">
        <v>1</v>
      </c>
      <c r="R14">
        <v>1</v>
      </c>
      <c r="S14">
        <v>1</v>
      </c>
      <c r="T14">
        <v>1</v>
      </c>
      <c r="U14">
        <v>1</v>
      </c>
      <c r="V14">
        <v>1</v>
      </c>
    </row>
    <row r="15" spans="1:22" x14ac:dyDescent="0.25">
      <c r="B15" t="s">
        <v>1486</v>
      </c>
      <c r="C15">
        <v>1</v>
      </c>
      <c r="D15">
        <v>1</v>
      </c>
      <c r="E15">
        <v>1</v>
      </c>
      <c r="F15">
        <v>1</v>
      </c>
      <c r="G15">
        <v>1</v>
      </c>
      <c r="H15">
        <v>1</v>
      </c>
      <c r="P15" t="s">
        <v>675</v>
      </c>
      <c r="Q15">
        <v>1</v>
      </c>
      <c r="R15">
        <v>1</v>
      </c>
      <c r="S15">
        <v>2</v>
      </c>
      <c r="T15">
        <v>2</v>
      </c>
      <c r="U15">
        <v>3</v>
      </c>
      <c r="V15">
        <v>3</v>
      </c>
    </row>
    <row r="16" spans="1:22" x14ac:dyDescent="0.25">
      <c r="B16" t="s">
        <v>1484</v>
      </c>
      <c r="C16">
        <v>5</v>
      </c>
      <c r="D16">
        <v>1</v>
      </c>
      <c r="E16">
        <v>5</v>
      </c>
      <c r="F16">
        <v>1</v>
      </c>
      <c r="G16">
        <v>5</v>
      </c>
      <c r="H16">
        <v>1</v>
      </c>
      <c r="P16" t="s">
        <v>1486</v>
      </c>
      <c r="Q16">
        <v>1</v>
      </c>
      <c r="R16">
        <v>1</v>
      </c>
      <c r="S16">
        <v>1</v>
      </c>
      <c r="T16">
        <v>1</v>
      </c>
      <c r="U16">
        <v>1</v>
      </c>
      <c r="V16">
        <v>1</v>
      </c>
    </row>
    <row r="17" spans="1:22" x14ac:dyDescent="0.25">
      <c r="B17" t="s">
        <v>1485</v>
      </c>
      <c r="C17">
        <v>1</v>
      </c>
      <c r="D17">
        <v>13</v>
      </c>
      <c r="E17">
        <v>1</v>
      </c>
      <c r="F17">
        <v>13</v>
      </c>
      <c r="G17">
        <v>1</v>
      </c>
      <c r="H17">
        <v>13</v>
      </c>
      <c r="P17" t="s">
        <v>1484</v>
      </c>
      <c r="Q17">
        <v>5</v>
      </c>
      <c r="R17">
        <v>1</v>
      </c>
      <c r="S17">
        <v>5</v>
      </c>
      <c r="T17">
        <v>1</v>
      </c>
      <c r="U17">
        <v>5</v>
      </c>
      <c r="V17">
        <v>1</v>
      </c>
    </row>
    <row r="18" spans="1:22" x14ac:dyDescent="0.25">
      <c r="B18" t="s">
        <v>231</v>
      </c>
      <c r="C18">
        <f t="shared" ref="C18:H18" si="7">C12*C13*C14*C15*C16*C17</f>
        <v>135</v>
      </c>
      <c r="D18">
        <f t="shared" si="7"/>
        <v>351</v>
      </c>
      <c r="E18">
        <f t="shared" si="7"/>
        <v>135</v>
      </c>
      <c r="F18">
        <f t="shared" si="7"/>
        <v>351</v>
      </c>
      <c r="G18">
        <f t="shared" si="7"/>
        <v>135</v>
      </c>
      <c r="H18">
        <f t="shared" si="7"/>
        <v>351</v>
      </c>
      <c r="P18" t="s">
        <v>1485</v>
      </c>
      <c r="Q18">
        <v>1</v>
      </c>
      <c r="R18">
        <v>12</v>
      </c>
      <c r="S18">
        <v>1</v>
      </c>
      <c r="T18">
        <v>12</v>
      </c>
      <c r="U18">
        <v>1</v>
      </c>
      <c r="V18">
        <v>12</v>
      </c>
    </row>
    <row r="19" spans="1:22" x14ac:dyDescent="0.25">
      <c r="A19" t="s">
        <v>1585</v>
      </c>
      <c r="H19">
        <f>(H18-80)/3</f>
        <v>90.333333333333329</v>
      </c>
      <c r="P19" t="s">
        <v>231</v>
      </c>
      <c r="Q19">
        <f t="shared" ref="Q19:V19" si="8">Q13*Q14*Q15*Q16*Q17*Q18</f>
        <v>87.5</v>
      </c>
      <c r="R19">
        <f t="shared" si="8"/>
        <v>210</v>
      </c>
      <c r="S19">
        <f t="shared" si="8"/>
        <v>175</v>
      </c>
      <c r="T19">
        <f t="shared" si="8"/>
        <v>420</v>
      </c>
      <c r="U19">
        <f t="shared" si="8"/>
        <v>262.5</v>
      </c>
      <c r="V19">
        <f t="shared" si="8"/>
        <v>630</v>
      </c>
    </row>
    <row r="20" spans="1:22" x14ac:dyDescent="0.25">
      <c r="C20" t="s">
        <v>1581</v>
      </c>
      <c r="Q20">
        <f t="shared" ref="Q20:V20" si="9">(Q19-80)/3</f>
        <v>2.5</v>
      </c>
      <c r="R20">
        <f t="shared" si="9"/>
        <v>43.333333333333336</v>
      </c>
      <c r="S20">
        <f t="shared" si="9"/>
        <v>31.666666666666668</v>
      </c>
      <c r="T20">
        <f t="shared" si="9"/>
        <v>113.33333333333333</v>
      </c>
      <c r="U20">
        <f t="shared" si="9"/>
        <v>60.833333333333336</v>
      </c>
      <c r="V20">
        <f t="shared" si="9"/>
        <v>183.33333333333334</v>
      </c>
    </row>
    <row r="21" spans="1:22" x14ac:dyDescent="0.25">
      <c r="B21" t="s">
        <v>212</v>
      </c>
      <c r="C21">
        <f t="shared" ref="C21:H21" si="10">C12*2</f>
        <v>27</v>
      </c>
      <c r="D21">
        <f t="shared" si="10"/>
        <v>27</v>
      </c>
      <c r="E21">
        <f t="shared" si="10"/>
        <v>27</v>
      </c>
      <c r="F21">
        <f t="shared" si="10"/>
        <v>27</v>
      </c>
      <c r="G21">
        <f t="shared" si="10"/>
        <v>27</v>
      </c>
      <c r="H21">
        <f t="shared" si="10"/>
        <v>27</v>
      </c>
    </row>
    <row r="22" spans="1:22" x14ac:dyDescent="0.25">
      <c r="B22" t="s">
        <v>1487</v>
      </c>
      <c r="C22">
        <v>2</v>
      </c>
      <c r="D22">
        <v>2</v>
      </c>
      <c r="E22">
        <v>2</v>
      </c>
      <c r="F22">
        <v>2</v>
      </c>
      <c r="G22">
        <v>2</v>
      </c>
      <c r="H22">
        <v>2</v>
      </c>
    </row>
    <row r="23" spans="1:22" x14ac:dyDescent="0.25">
      <c r="B23" t="s">
        <v>675</v>
      </c>
      <c r="C23">
        <v>1</v>
      </c>
      <c r="D23">
        <v>1</v>
      </c>
      <c r="E23">
        <v>1</v>
      </c>
      <c r="F23">
        <v>1</v>
      </c>
      <c r="G23">
        <v>1</v>
      </c>
      <c r="H23">
        <v>1</v>
      </c>
    </row>
    <row r="24" spans="1:22" x14ac:dyDescent="0.25">
      <c r="B24" t="s">
        <v>1486</v>
      </c>
      <c r="C24">
        <v>1</v>
      </c>
      <c r="D24">
        <v>1</v>
      </c>
      <c r="E24">
        <v>1</v>
      </c>
      <c r="F24">
        <v>1</v>
      </c>
      <c r="G24">
        <v>1</v>
      </c>
      <c r="H24">
        <v>1</v>
      </c>
    </row>
    <row r="25" spans="1:22" x14ac:dyDescent="0.25">
      <c r="B25" t="s">
        <v>1484</v>
      </c>
      <c r="C25">
        <v>5</v>
      </c>
      <c r="D25">
        <v>1</v>
      </c>
      <c r="E25">
        <v>5</v>
      </c>
      <c r="F25">
        <v>1</v>
      </c>
      <c r="G25">
        <v>5</v>
      </c>
      <c r="H25">
        <v>1</v>
      </c>
    </row>
    <row r="26" spans="1:22" x14ac:dyDescent="0.25">
      <c r="B26" t="s">
        <v>1485</v>
      </c>
      <c r="C26">
        <v>1</v>
      </c>
      <c r="D26">
        <v>13</v>
      </c>
      <c r="E26">
        <v>1</v>
      </c>
      <c r="F26">
        <v>13</v>
      </c>
      <c r="G26">
        <v>1</v>
      </c>
      <c r="H26">
        <v>13</v>
      </c>
    </row>
    <row r="27" spans="1:22" x14ac:dyDescent="0.25">
      <c r="B27" t="s">
        <v>231</v>
      </c>
      <c r="C27">
        <f t="shared" ref="C27:H27" si="11">C21*C22*C23*C24*C25*C26</f>
        <v>270</v>
      </c>
      <c r="D27">
        <f t="shared" si="11"/>
        <v>702</v>
      </c>
      <c r="E27">
        <f t="shared" si="11"/>
        <v>270</v>
      </c>
      <c r="F27">
        <f t="shared" si="11"/>
        <v>702</v>
      </c>
      <c r="G27">
        <f t="shared" si="11"/>
        <v>270</v>
      </c>
      <c r="H27">
        <f t="shared" si="11"/>
        <v>702</v>
      </c>
    </row>
    <row r="28" spans="1:22" x14ac:dyDescent="0.25">
      <c r="A28" t="s">
        <v>1585</v>
      </c>
      <c r="C28">
        <f t="shared" ref="C28:H28" si="12">(C27-80)/3</f>
        <v>63.333333333333336</v>
      </c>
      <c r="D28">
        <f t="shared" si="12"/>
        <v>207.33333333333334</v>
      </c>
      <c r="E28">
        <f t="shared" si="12"/>
        <v>63.333333333333336</v>
      </c>
      <c r="F28">
        <f t="shared" si="12"/>
        <v>207.33333333333334</v>
      </c>
      <c r="G28">
        <f t="shared" si="12"/>
        <v>63.333333333333336</v>
      </c>
      <c r="H28">
        <f t="shared" si="12"/>
        <v>207.33333333333334</v>
      </c>
    </row>
    <row r="29" spans="1:22" x14ac:dyDescent="0.25">
      <c r="C29" t="s">
        <v>1579</v>
      </c>
    </row>
    <row r="30" spans="1:22" x14ac:dyDescent="0.25">
      <c r="B30" t="s">
        <v>212</v>
      </c>
      <c r="C30">
        <f>7</f>
        <v>7</v>
      </c>
      <c r="D30">
        <f>7</f>
        <v>7</v>
      </c>
      <c r="E30">
        <f>7</f>
        <v>7</v>
      </c>
      <c r="F30">
        <f>7</f>
        <v>7</v>
      </c>
      <c r="G30">
        <f>7</f>
        <v>7</v>
      </c>
      <c r="H30">
        <f>7</f>
        <v>7</v>
      </c>
    </row>
    <row r="31" spans="1:22" x14ac:dyDescent="0.25">
      <c r="B31" t="s">
        <v>1487</v>
      </c>
      <c r="C31">
        <v>2</v>
      </c>
      <c r="D31">
        <v>2</v>
      </c>
      <c r="E31">
        <v>2</v>
      </c>
      <c r="F31">
        <v>2</v>
      </c>
      <c r="G31">
        <v>2</v>
      </c>
      <c r="H31">
        <v>2</v>
      </c>
    </row>
    <row r="32" spans="1:22" x14ac:dyDescent="0.25">
      <c r="B32" t="s">
        <v>675</v>
      </c>
      <c r="C32">
        <v>1</v>
      </c>
      <c r="D32">
        <v>1</v>
      </c>
      <c r="E32">
        <v>1</v>
      </c>
      <c r="F32">
        <v>1</v>
      </c>
      <c r="G32">
        <v>1</v>
      </c>
      <c r="H32">
        <v>1</v>
      </c>
    </row>
    <row r="33" spans="1:8" x14ac:dyDescent="0.25">
      <c r="B33" t="s">
        <v>1486</v>
      </c>
      <c r="C33">
        <v>1</v>
      </c>
      <c r="D33">
        <v>1</v>
      </c>
      <c r="E33">
        <v>1</v>
      </c>
      <c r="F33">
        <v>1</v>
      </c>
      <c r="G33">
        <v>1</v>
      </c>
      <c r="H33">
        <v>1</v>
      </c>
    </row>
    <row r="34" spans="1:8" x14ac:dyDescent="0.25">
      <c r="B34" t="s">
        <v>1484</v>
      </c>
      <c r="C34">
        <v>3</v>
      </c>
      <c r="D34">
        <v>1</v>
      </c>
      <c r="E34">
        <v>3</v>
      </c>
      <c r="F34">
        <v>1</v>
      </c>
      <c r="G34">
        <v>3</v>
      </c>
      <c r="H34">
        <v>1</v>
      </c>
    </row>
    <row r="35" spans="1:8" x14ac:dyDescent="0.25">
      <c r="B35" t="s">
        <v>1485</v>
      </c>
      <c r="C35">
        <v>1</v>
      </c>
      <c r="D35">
        <v>6</v>
      </c>
      <c r="E35">
        <v>1</v>
      </c>
      <c r="F35">
        <v>6</v>
      </c>
      <c r="G35">
        <v>1</v>
      </c>
      <c r="H35">
        <v>6</v>
      </c>
    </row>
    <row r="36" spans="1:8" x14ac:dyDescent="0.25">
      <c r="B36" t="s">
        <v>231</v>
      </c>
      <c r="C36">
        <f t="shared" ref="C36:H36" si="13">C30*C31*C32*C33*C34*C35</f>
        <v>42</v>
      </c>
      <c r="D36">
        <f t="shared" si="13"/>
        <v>84</v>
      </c>
      <c r="E36">
        <f t="shared" si="13"/>
        <v>42</v>
      </c>
      <c r="F36">
        <f t="shared" si="13"/>
        <v>84</v>
      </c>
      <c r="G36">
        <f t="shared" si="13"/>
        <v>42</v>
      </c>
      <c r="H36">
        <f t="shared" si="13"/>
        <v>84</v>
      </c>
    </row>
    <row r="37" spans="1:8" x14ac:dyDescent="0.25">
      <c r="A37" t="s">
        <v>1585</v>
      </c>
    </row>
    <row r="38" spans="1:8" x14ac:dyDescent="0.25">
      <c r="C38" t="s">
        <v>1580</v>
      </c>
    </row>
    <row r="39" spans="1:8" x14ac:dyDescent="0.25">
      <c r="B39" t="s">
        <v>212</v>
      </c>
      <c r="C39">
        <f t="shared" ref="C39:H39" si="14">5*3.5</f>
        <v>17.5</v>
      </c>
      <c r="D39">
        <f t="shared" si="14"/>
        <v>17.5</v>
      </c>
      <c r="E39" s="3">
        <f t="shared" si="14"/>
        <v>17.5</v>
      </c>
      <c r="F39" s="3">
        <f t="shared" si="14"/>
        <v>17.5</v>
      </c>
      <c r="G39">
        <f t="shared" si="14"/>
        <v>17.5</v>
      </c>
      <c r="H39">
        <f t="shared" si="14"/>
        <v>17.5</v>
      </c>
    </row>
    <row r="40" spans="1:8" x14ac:dyDescent="0.25">
      <c r="B40" t="s">
        <v>1487</v>
      </c>
      <c r="C40">
        <v>1</v>
      </c>
      <c r="D40">
        <v>1</v>
      </c>
      <c r="E40" s="3">
        <v>1</v>
      </c>
      <c r="F40" s="3">
        <v>1</v>
      </c>
      <c r="G40">
        <v>1</v>
      </c>
      <c r="H40">
        <v>1</v>
      </c>
    </row>
    <row r="41" spans="1:8" x14ac:dyDescent="0.25">
      <c r="B41" t="s">
        <v>675</v>
      </c>
      <c r="C41">
        <v>1</v>
      </c>
      <c r="D41">
        <v>1</v>
      </c>
      <c r="E41" s="3">
        <v>2</v>
      </c>
      <c r="F41" s="3">
        <v>2</v>
      </c>
      <c r="G41">
        <v>3</v>
      </c>
      <c r="H41">
        <v>3</v>
      </c>
    </row>
    <row r="42" spans="1:8" x14ac:dyDescent="0.25">
      <c r="B42" t="s">
        <v>1486</v>
      </c>
      <c r="C42">
        <v>1</v>
      </c>
      <c r="D42">
        <v>1</v>
      </c>
      <c r="E42" s="3">
        <v>1</v>
      </c>
      <c r="F42" s="3">
        <v>1</v>
      </c>
      <c r="G42">
        <v>1</v>
      </c>
      <c r="H42">
        <v>1</v>
      </c>
    </row>
    <row r="43" spans="1:8" x14ac:dyDescent="0.25">
      <c r="B43" t="s">
        <v>1484</v>
      </c>
      <c r="C43">
        <v>5</v>
      </c>
      <c r="D43">
        <v>1</v>
      </c>
      <c r="E43" s="3">
        <v>5</v>
      </c>
      <c r="F43" s="3">
        <v>1</v>
      </c>
      <c r="G43">
        <v>5</v>
      </c>
      <c r="H43">
        <v>1</v>
      </c>
    </row>
    <row r="44" spans="1:8" x14ac:dyDescent="0.25">
      <c r="B44" t="s">
        <v>1485</v>
      </c>
      <c r="C44">
        <v>1</v>
      </c>
      <c r="D44">
        <v>9</v>
      </c>
      <c r="E44" s="3">
        <v>1</v>
      </c>
      <c r="F44" s="3">
        <v>9</v>
      </c>
      <c r="G44">
        <v>1</v>
      </c>
      <c r="H44">
        <v>9</v>
      </c>
    </row>
    <row r="45" spans="1:8" x14ac:dyDescent="0.25">
      <c r="B45" t="s">
        <v>231</v>
      </c>
      <c r="C45">
        <f t="shared" ref="C45:H45" si="15">C39*C40*C41*C42*C43*C44</f>
        <v>87.5</v>
      </c>
      <c r="D45">
        <f t="shared" si="15"/>
        <v>157.5</v>
      </c>
      <c r="E45" s="3">
        <f t="shared" si="15"/>
        <v>175</v>
      </c>
      <c r="F45" s="3">
        <f t="shared" si="15"/>
        <v>315</v>
      </c>
      <c r="G45">
        <f t="shared" si="15"/>
        <v>262.5</v>
      </c>
      <c r="H45">
        <f t="shared" si="15"/>
        <v>472.5</v>
      </c>
    </row>
    <row r="47" spans="1:8" x14ac:dyDescent="0.25">
      <c r="C47" t="s">
        <v>1582</v>
      </c>
    </row>
    <row r="48" spans="1:8" x14ac:dyDescent="0.25">
      <c r="B48" t="s">
        <v>212</v>
      </c>
      <c r="C48">
        <f t="shared" ref="C48:H48" si="16">C39*2</f>
        <v>35</v>
      </c>
      <c r="D48">
        <f t="shared" si="16"/>
        <v>35</v>
      </c>
      <c r="E48" s="3">
        <f t="shared" si="16"/>
        <v>35</v>
      </c>
      <c r="F48" s="3">
        <f t="shared" si="16"/>
        <v>35</v>
      </c>
      <c r="G48">
        <f t="shared" si="16"/>
        <v>35</v>
      </c>
      <c r="H48">
        <f t="shared" si="16"/>
        <v>35</v>
      </c>
    </row>
    <row r="49" spans="2:8" x14ac:dyDescent="0.25">
      <c r="B49" t="s">
        <v>1487</v>
      </c>
      <c r="C49">
        <v>1</v>
      </c>
      <c r="D49">
        <v>1</v>
      </c>
      <c r="E49" s="3">
        <v>1</v>
      </c>
      <c r="F49" s="3">
        <v>1</v>
      </c>
      <c r="G49">
        <v>1</v>
      </c>
      <c r="H49">
        <v>1</v>
      </c>
    </row>
    <row r="50" spans="2:8" x14ac:dyDescent="0.25">
      <c r="B50" t="s">
        <v>675</v>
      </c>
      <c r="C50">
        <v>1</v>
      </c>
      <c r="D50">
        <v>1</v>
      </c>
      <c r="E50" s="3">
        <v>2</v>
      </c>
      <c r="F50" s="3">
        <v>2</v>
      </c>
      <c r="G50">
        <v>3</v>
      </c>
      <c r="H50">
        <v>3</v>
      </c>
    </row>
    <row r="51" spans="2:8" x14ac:dyDescent="0.25">
      <c r="B51" t="s">
        <v>1486</v>
      </c>
      <c r="C51">
        <v>1</v>
      </c>
      <c r="D51">
        <v>1</v>
      </c>
      <c r="E51" s="3">
        <v>1</v>
      </c>
      <c r="F51" s="3">
        <v>1</v>
      </c>
      <c r="G51">
        <v>1</v>
      </c>
      <c r="H51">
        <v>1</v>
      </c>
    </row>
    <row r="52" spans="2:8" x14ac:dyDescent="0.25">
      <c r="B52" t="s">
        <v>1484</v>
      </c>
      <c r="C52">
        <v>5</v>
      </c>
      <c r="D52">
        <v>1</v>
      </c>
      <c r="E52" s="3">
        <v>5</v>
      </c>
      <c r="F52" s="3">
        <v>1</v>
      </c>
      <c r="G52">
        <v>5</v>
      </c>
      <c r="H52">
        <v>1</v>
      </c>
    </row>
    <row r="53" spans="2:8" x14ac:dyDescent="0.25">
      <c r="B53" t="s">
        <v>1485</v>
      </c>
      <c r="C53">
        <v>1</v>
      </c>
      <c r="D53">
        <v>9</v>
      </c>
      <c r="E53" s="3">
        <v>1</v>
      </c>
      <c r="F53" s="3">
        <v>9</v>
      </c>
      <c r="G53">
        <v>1</v>
      </c>
      <c r="H53">
        <v>9</v>
      </c>
    </row>
    <row r="54" spans="2:8" x14ac:dyDescent="0.25">
      <c r="B54" t="s">
        <v>231</v>
      </c>
      <c r="C54">
        <f t="shared" ref="C54:H54" si="17">C48*C49*C50*C51*C52*C53</f>
        <v>175</v>
      </c>
      <c r="D54">
        <f t="shared" si="17"/>
        <v>315</v>
      </c>
      <c r="E54" s="3">
        <f t="shared" si="17"/>
        <v>350</v>
      </c>
      <c r="F54" s="3">
        <f t="shared" si="17"/>
        <v>630</v>
      </c>
      <c r="G54">
        <f t="shared" si="17"/>
        <v>525</v>
      </c>
      <c r="H54">
        <f t="shared" si="17"/>
        <v>945</v>
      </c>
    </row>
    <row r="56" spans="2:8" x14ac:dyDescent="0.25">
      <c r="C56" t="s">
        <v>1583</v>
      </c>
    </row>
    <row r="57" spans="2:8" x14ac:dyDescent="0.25">
      <c r="B57" t="s">
        <v>212</v>
      </c>
      <c r="C57">
        <f t="shared" ref="C57:H57" si="18">6*3.5</f>
        <v>21</v>
      </c>
      <c r="D57">
        <f t="shared" si="18"/>
        <v>21</v>
      </c>
      <c r="E57">
        <f t="shared" si="18"/>
        <v>21</v>
      </c>
      <c r="F57">
        <f t="shared" si="18"/>
        <v>21</v>
      </c>
      <c r="G57">
        <f t="shared" si="18"/>
        <v>21</v>
      </c>
      <c r="H57">
        <f t="shared" si="18"/>
        <v>21</v>
      </c>
    </row>
    <row r="58" spans="2:8" x14ac:dyDescent="0.25">
      <c r="B58" t="s">
        <v>1487</v>
      </c>
      <c r="C58">
        <v>1</v>
      </c>
      <c r="D58">
        <v>1</v>
      </c>
      <c r="E58">
        <v>1</v>
      </c>
      <c r="F58">
        <v>1</v>
      </c>
      <c r="G58">
        <v>1</v>
      </c>
      <c r="H58">
        <v>1</v>
      </c>
    </row>
    <row r="59" spans="2:8" x14ac:dyDescent="0.25">
      <c r="B59" t="s">
        <v>675</v>
      </c>
      <c r="C59">
        <v>1</v>
      </c>
      <c r="D59">
        <v>1</v>
      </c>
      <c r="E59">
        <v>1</v>
      </c>
      <c r="F59">
        <v>1</v>
      </c>
      <c r="G59">
        <v>1</v>
      </c>
      <c r="H59">
        <v>1</v>
      </c>
    </row>
    <row r="60" spans="2:8" x14ac:dyDescent="0.25">
      <c r="B60" t="s">
        <v>1486</v>
      </c>
      <c r="C60">
        <v>1</v>
      </c>
      <c r="D60">
        <v>1</v>
      </c>
      <c r="E60">
        <v>1</v>
      </c>
      <c r="F60">
        <v>1</v>
      </c>
      <c r="G60">
        <v>1</v>
      </c>
      <c r="H60">
        <v>1</v>
      </c>
    </row>
    <row r="61" spans="2:8" x14ac:dyDescent="0.25">
      <c r="B61" t="s">
        <v>1484</v>
      </c>
      <c r="C61">
        <v>5</v>
      </c>
      <c r="D61">
        <v>1</v>
      </c>
      <c r="E61">
        <v>5</v>
      </c>
      <c r="F61">
        <v>1</v>
      </c>
      <c r="G61">
        <v>5</v>
      </c>
      <c r="H61">
        <v>1</v>
      </c>
    </row>
    <row r="62" spans="2:8" x14ac:dyDescent="0.25">
      <c r="B62" t="s">
        <v>1485</v>
      </c>
      <c r="C62">
        <v>1</v>
      </c>
      <c r="D62">
        <v>9</v>
      </c>
      <c r="E62">
        <v>1</v>
      </c>
      <c r="F62">
        <v>9</v>
      </c>
      <c r="G62">
        <v>1</v>
      </c>
      <c r="H62">
        <v>9</v>
      </c>
    </row>
    <row r="63" spans="2:8" x14ac:dyDescent="0.25">
      <c r="B63" t="s">
        <v>231</v>
      </c>
      <c r="C63">
        <f t="shared" ref="C63:H63" si="19">C57*C58*C59*C60*C61*C62</f>
        <v>105</v>
      </c>
      <c r="D63">
        <f t="shared" si="19"/>
        <v>189</v>
      </c>
      <c r="E63">
        <f t="shared" si="19"/>
        <v>105</v>
      </c>
      <c r="F63">
        <f t="shared" si="19"/>
        <v>189</v>
      </c>
      <c r="G63">
        <f t="shared" si="19"/>
        <v>105</v>
      </c>
      <c r="H63">
        <f t="shared" si="19"/>
        <v>189</v>
      </c>
    </row>
    <row r="65" spans="2:16" x14ac:dyDescent="0.25">
      <c r="C65" t="s">
        <v>1584</v>
      </c>
    </row>
    <row r="66" spans="2:16" x14ac:dyDescent="0.25">
      <c r="B66" t="s">
        <v>212</v>
      </c>
      <c r="C66">
        <f t="shared" ref="C66:H66" si="20">18*3.5</f>
        <v>63</v>
      </c>
      <c r="D66">
        <f t="shared" si="20"/>
        <v>63</v>
      </c>
      <c r="E66">
        <f t="shared" si="20"/>
        <v>63</v>
      </c>
      <c r="F66">
        <f t="shared" si="20"/>
        <v>63</v>
      </c>
      <c r="G66">
        <f t="shared" si="20"/>
        <v>63</v>
      </c>
      <c r="H66">
        <f t="shared" si="20"/>
        <v>63</v>
      </c>
    </row>
    <row r="67" spans="2:16" x14ac:dyDescent="0.25">
      <c r="B67" t="s">
        <v>1487</v>
      </c>
      <c r="C67">
        <v>1</v>
      </c>
      <c r="D67">
        <v>1</v>
      </c>
      <c r="E67">
        <v>1</v>
      </c>
      <c r="F67">
        <v>1</v>
      </c>
      <c r="G67">
        <v>1</v>
      </c>
      <c r="H67">
        <v>1</v>
      </c>
    </row>
    <row r="68" spans="2:16" x14ac:dyDescent="0.25">
      <c r="B68" t="s">
        <v>675</v>
      </c>
      <c r="C68">
        <v>1</v>
      </c>
      <c r="D68">
        <v>1</v>
      </c>
      <c r="E68">
        <v>1</v>
      </c>
      <c r="F68">
        <v>1</v>
      </c>
      <c r="G68">
        <v>1</v>
      </c>
      <c r="H68">
        <v>1</v>
      </c>
    </row>
    <row r="69" spans="2:16" x14ac:dyDescent="0.25">
      <c r="B69" t="s">
        <v>1486</v>
      </c>
      <c r="C69">
        <v>1</v>
      </c>
      <c r="D69">
        <v>1</v>
      </c>
      <c r="E69">
        <v>1</v>
      </c>
      <c r="F69">
        <v>1</v>
      </c>
      <c r="G69">
        <v>1</v>
      </c>
      <c r="H69">
        <v>1</v>
      </c>
    </row>
    <row r="70" spans="2:16" x14ac:dyDescent="0.25">
      <c r="B70" t="s">
        <v>1484</v>
      </c>
      <c r="C70">
        <v>5</v>
      </c>
      <c r="D70">
        <v>1</v>
      </c>
      <c r="E70">
        <v>5</v>
      </c>
      <c r="F70">
        <v>1</v>
      </c>
      <c r="G70">
        <v>5</v>
      </c>
      <c r="H70">
        <v>1</v>
      </c>
    </row>
    <row r="71" spans="2:16" x14ac:dyDescent="0.25">
      <c r="B71" t="s">
        <v>1485</v>
      </c>
      <c r="C71">
        <v>1</v>
      </c>
      <c r="D71">
        <v>9</v>
      </c>
      <c r="E71">
        <v>1</v>
      </c>
      <c r="F71">
        <v>9</v>
      </c>
      <c r="G71">
        <v>1</v>
      </c>
      <c r="H71">
        <v>9</v>
      </c>
      <c r="O71">
        <f>5845*2</f>
        <v>11690</v>
      </c>
    </row>
    <row r="72" spans="2:16" x14ac:dyDescent="0.25">
      <c r="B72" t="s">
        <v>231</v>
      </c>
      <c r="C72">
        <f t="shared" ref="C72:H72" si="21">C66*C67*C68*C69*C70*C71</f>
        <v>315</v>
      </c>
      <c r="D72">
        <f t="shared" si="21"/>
        <v>567</v>
      </c>
      <c r="E72">
        <f t="shared" si="21"/>
        <v>315</v>
      </c>
      <c r="F72">
        <f t="shared" si="21"/>
        <v>567</v>
      </c>
      <c r="G72">
        <f t="shared" si="21"/>
        <v>315</v>
      </c>
      <c r="H72">
        <f t="shared" si="21"/>
        <v>567</v>
      </c>
      <c r="K72">
        <f>1540-270</f>
        <v>1270</v>
      </c>
      <c r="O72">
        <f>120000-O71</f>
        <v>108310</v>
      </c>
    </row>
    <row r="73" spans="2:16" x14ac:dyDescent="0.25">
      <c r="K73">
        <f>K72*2</f>
        <v>2540</v>
      </c>
      <c r="O73">
        <f>O72/7000</f>
        <v>15.472857142857142</v>
      </c>
      <c r="P73">
        <f>15*7000</f>
        <v>105000</v>
      </c>
    </row>
    <row r="74" spans="2:16" x14ac:dyDescent="0.25">
      <c r="C74" t="s">
        <v>1576</v>
      </c>
      <c r="K74">
        <f>2175*2</f>
        <v>4350</v>
      </c>
      <c r="O74">
        <f>16*200</f>
        <v>3200</v>
      </c>
      <c r="P74">
        <f>P73+O71</f>
        <v>116690</v>
      </c>
    </row>
    <row r="75" spans="2:16" x14ac:dyDescent="0.25">
      <c r="B75" t="s">
        <v>212</v>
      </c>
      <c r="C75">
        <f t="shared" ref="C75:H75" si="22">(5*2.5+30)/2</f>
        <v>21.25</v>
      </c>
      <c r="D75">
        <f t="shared" si="22"/>
        <v>21.25</v>
      </c>
      <c r="E75">
        <f t="shared" si="22"/>
        <v>21.25</v>
      </c>
      <c r="F75">
        <f t="shared" si="22"/>
        <v>21.25</v>
      </c>
      <c r="G75">
        <f t="shared" si="22"/>
        <v>21.25</v>
      </c>
      <c r="H75">
        <f t="shared" si="22"/>
        <v>21.25</v>
      </c>
      <c r="K75">
        <f>K74-K73</f>
        <v>1810</v>
      </c>
    </row>
    <row r="76" spans="2:16" x14ac:dyDescent="0.25">
      <c r="B76" t="s">
        <v>1487</v>
      </c>
      <c r="C76">
        <v>1</v>
      </c>
      <c r="D76">
        <v>1</v>
      </c>
      <c r="E76">
        <v>1</v>
      </c>
      <c r="F76">
        <v>1</v>
      </c>
      <c r="G76">
        <v>1</v>
      </c>
      <c r="H76">
        <v>1</v>
      </c>
    </row>
    <row r="77" spans="2:16" x14ac:dyDescent="0.25">
      <c r="B77" t="s">
        <v>675</v>
      </c>
      <c r="C77">
        <v>1</v>
      </c>
      <c r="D77">
        <v>1</v>
      </c>
      <c r="E77">
        <v>2</v>
      </c>
      <c r="F77">
        <v>2</v>
      </c>
      <c r="G77">
        <v>3</v>
      </c>
      <c r="H77">
        <v>3</v>
      </c>
      <c r="M77">
        <f>19*7000</f>
        <v>133000</v>
      </c>
    </row>
    <row r="78" spans="2:16" x14ac:dyDescent="0.25">
      <c r="B78" t="s">
        <v>1486</v>
      </c>
      <c r="C78">
        <v>1</v>
      </c>
      <c r="D78">
        <v>1</v>
      </c>
      <c r="E78">
        <v>1</v>
      </c>
      <c r="F78">
        <v>1</v>
      </c>
      <c r="G78">
        <v>1</v>
      </c>
      <c r="H78">
        <v>1</v>
      </c>
      <c r="M78">
        <f>40*7000</f>
        <v>280000</v>
      </c>
    </row>
    <row r="79" spans="2:16" x14ac:dyDescent="0.25">
      <c r="B79" t="s">
        <v>1484</v>
      </c>
      <c r="C79">
        <v>3</v>
      </c>
      <c r="D79">
        <v>1</v>
      </c>
      <c r="E79">
        <v>3</v>
      </c>
      <c r="F79">
        <v>1</v>
      </c>
      <c r="G79">
        <v>3</v>
      </c>
      <c r="H79">
        <v>1</v>
      </c>
    </row>
    <row r="80" spans="2:16" x14ac:dyDescent="0.25">
      <c r="B80" t="s">
        <v>1485</v>
      </c>
      <c r="C80">
        <v>1</v>
      </c>
      <c r="D80">
        <v>5</v>
      </c>
      <c r="E80">
        <v>1</v>
      </c>
      <c r="F80">
        <v>5</v>
      </c>
      <c r="G80">
        <v>1</v>
      </c>
      <c r="H80">
        <v>5</v>
      </c>
    </row>
    <row r="81" spans="1:14" x14ac:dyDescent="0.25">
      <c r="B81" t="s">
        <v>231</v>
      </c>
      <c r="C81">
        <f t="shared" ref="C81:H81" si="23">C75*C76*C77*C78*C79*C80</f>
        <v>63.75</v>
      </c>
      <c r="D81">
        <f t="shared" si="23"/>
        <v>106.25</v>
      </c>
      <c r="E81">
        <f t="shared" si="23"/>
        <v>127.5</v>
      </c>
      <c r="F81">
        <f t="shared" si="23"/>
        <v>212.5</v>
      </c>
      <c r="G81">
        <f t="shared" si="23"/>
        <v>191.25</v>
      </c>
      <c r="H81">
        <f t="shared" si="23"/>
        <v>318.75</v>
      </c>
    </row>
    <row r="82" spans="1:14" x14ac:dyDescent="0.25">
      <c r="A82" t="s">
        <v>1585</v>
      </c>
      <c r="C82">
        <f t="shared" ref="C82:H82" si="24">(C81-80)/3</f>
        <v>-5.416666666666667</v>
      </c>
      <c r="D82">
        <f t="shared" si="24"/>
        <v>8.75</v>
      </c>
      <c r="E82">
        <f t="shared" si="24"/>
        <v>15.833333333333334</v>
      </c>
      <c r="F82">
        <f t="shared" si="24"/>
        <v>44.166666666666664</v>
      </c>
      <c r="G82">
        <f t="shared" si="24"/>
        <v>37.083333333333336</v>
      </c>
      <c r="H82">
        <f t="shared" si="24"/>
        <v>79.583333333333329</v>
      </c>
    </row>
    <row r="84" spans="1:14" x14ac:dyDescent="0.25">
      <c r="C84" t="s">
        <v>3942</v>
      </c>
    </row>
    <row r="85" spans="1:14" x14ac:dyDescent="0.25">
      <c r="B85" t="s">
        <v>212</v>
      </c>
      <c r="C85">
        <f t="shared" ref="C85:H85" si="25">8*2+8</f>
        <v>24</v>
      </c>
      <c r="D85">
        <f t="shared" si="25"/>
        <v>24</v>
      </c>
      <c r="E85">
        <f t="shared" si="25"/>
        <v>24</v>
      </c>
      <c r="F85">
        <f t="shared" si="25"/>
        <v>24</v>
      </c>
      <c r="G85">
        <f t="shared" si="25"/>
        <v>24</v>
      </c>
      <c r="H85">
        <f t="shared" si="25"/>
        <v>24</v>
      </c>
    </row>
    <row r="86" spans="1:14" x14ac:dyDescent="0.25">
      <c r="B86" t="s">
        <v>1487</v>
      </c>
      <c r="C86">
        <v>2</v>
      </c>
      <c r="D86">
        <v>2</v>
      </c>
      <c r="E86">
        <v>2</v>
      </c>
      <c r="F86">
        <v>2</v>
      </c>
      <c r="G86">
        <v>2</v>
      </c>
      <c r="H86">
        <v>2</v>
      </c>
      <c r="K86">
        <v>14</v>
      </c>
    </row>
    <row r="87" spans="1:14" x14ac:dyDescent="0.25">
      <c r="B87" t="s">
        <v>675</v>
      </c>
      <c r="C87">
        <v>2</v>
      </c>
      <c r="D87">
        <v>2</v>
      </c>
      <c r="E87">
        <v>2</v>
      </c>
      <c r="F87">
        <v>2</v>
      </c>
      <c r="G87">
        <v>2</v>
      </c>
      <c r="H87">
        <v>2</v>
      </c>
      <c r="K87">
        <v>-1</v>
      </c>
      <c r="L87" t="s">
        <v>966</v>
      </c>
    </row>
    <row r="88" spans="1:14" x14ac:dyDescent="0.25">
      <c r="B88" t="s">
        <v>1486</v>
      </c>
      <c r="C88">
        <v>1</v>
      </c>
      <c r="D88">
        <v>1</v>
      </c>
      <c r="E88">
        <v>1</v>
      </c>
      <c r="F88">
        <v>1</v>
      </c>
      <c r="G88">
        <v>1</v>
      </c>
      <c r="H88">
        <v>1</v>
      </c>
      <c r="I88">
        <f>3.5+1+2+7+2</f>
        <v>15.5</v>
      </c>
      <c r="K88">
        <v>-1</v>
      </c>
      <c r="L88" t="s">
        <v>1225</v>
      </c>
    </row>
    <row r="89" spans="1:14" x14ac:dyDescent="0.25">
      <c r="B89" t="s">
        <v>1484</v>
      </c>
      <c r="C89">
        <v>5</v>
      </c>
      <c r="D89">
        <v>1</v>
      </c>
      <c r="E89">
        <v>5</v>
      </c>
      <c r="F89">
        <v>1</v>
      </c>
      <c r="G89">
        <v>5</v>
      </c>
      <c r="H89">
        <v>1</v>
      </c>
      <c r="I89">
        <f>I88*4</f>
        <v>62</v>
      </c>
      <c r="K89">
        <v>-2</v>
      </c>
      <c r="L89" t="s">
        <v>1453</v>
      </c>
    </row>
    <row r="90" spans="1:14" x14ac:dyDescent="0.25">
      <c r="B90" t="s">
        <v>1485</v>
      </c>
      <c r="C90">
        <v>1</v>
      </c>
      <c r="D90">
        <v>13</v>
      </c>
      <c r="E90">
        <v>1</v>
      </c>
      <c r="F90">
        <v>13</v>
      </c>
      <c r="G90">
        <v>1</v>
      </c>
      <c r="H90">
        <v>13</v>
      </c>
      <c r="K90">
        <v>-3</v>
      </c>
      <c r="L90" t="s">
        <v>155</v>
      </c>
    </row>
    <row r="91" spans="1:14" x14ac:dyDescent="0.25">
      <c r="B91" t="s">
        <v>231</v>
      </c>
      <c r="C91">
        <f t="shared" ref="C91:H91" si="26">C85*C86*C87*C88*C89*C90</f>
        <v>480</v>
      </c>
      <c r="D91">
        <f t="shared" si="26"/>
        <v>1248</v>
      </c>
      <c r="E91">
        <f t="shared" si="26"/>
        <v>480</v>
      </c>
      <c r="F91">
        <f t="shared" si="26"/>
        <v>1248</v>
      </c>
      <c r="G91">
        <f t="shared" si="26"/>
        <v>480</v>
      </c>
      <c r="H91">
        <f t="shared" si="26"/>
        <v>1248</v>
      </c>
      <c r="K91">
        <v>-2</v>
      </c>
      <c r="L91" t="s">
        <v>1192</v>
      </c>
    </row>
    <row r="92" spans="1:14" x14ac:dyDescent="0.25">
      <c r="C92">
        <f t="shared" ref="C92:H92" si="27">(C91-80)/3</f>
        <v>133.33333333333334</v>
      </c>
      <c r="D92">
        <f t="shared" si="27"/>
        <v>389.33333333333331</v>
      </c>
      <c r="E92">
        <f t="shared" si="27"/>
        <v>133.33333333333334</v>
      </c>
      <c r="F92">
        <f t="shared" si="27"/>
        <v>389.33333333333331</v>
      </c>
      <c r="G92">
        <f t="shared" si="27"/>
        <v>133.33333333333334</v>
      </c>
      <c r="H92">
        <f t="shared" si="27"/>
        <v>389.33333333333331</v>
      </c>
    </row>
    <row r="95" spans="1:14" x14ac:dyDescent="0.25">
      <c r="K95">
        <f>SUM(K86:K94)</f>
        <v>5</v>
      </c>
    </row>
    <row r="96" spans="1:14" x14ac:dyDescent="0.25">
      <c r="D96">
        <f>4.5+2+4+5+5</f>
        <v>20.5</v>
      </c>
      <c r="F96">
        <v>3</v>
      </c>
      <c r="G96">
        <v>3</v>
      </c>
      <c r="H96" t="s">
        <v>212</v>
      </c>
      <c r="N96">
        <v>3</v>
      </c>
    </row>
    <row r="97" spans="3:15" x14ac:dyDescent="0.25">
      <c r="D97">
        <f>D96*4*0.75*0.8</f>
        <v>49.2</v>
      </c>
      <c r="F97">
        <v>-5</v>
      </c>
      <c r="G97">
        <v>-5</v>
      </c>
      <c r="H97" t="s">
        <v>3420</v>
      </c>
      <c r="N97">
        <v>-2</v>
      </c>
      <c r="O97" t="s">
        <v>1241</v>
      </c>
    </row>
    <row r="98" spans="3:15" x14ac:dyDescent="0.25">
      <c r="F98">
        <v>4</v>
      </c>
      <c r="G98">
        <v>4</v>
      </c>
      <c r="H98" t="s">
        <v>845</v>
      </c>
      <c r="N98">
        <v>-1</v>
      </c>
      <c r="O98" t="s">
        <v>1225</v>
      </c>
    </row>
    <row r="99" spans="3:15" x14ac:dyDescent="0.25">
      <c r="F99">
        <v>2</v>
      </c>
      <c r="G99">
        <v>2</v>
      </c>
      <c r="H99" t="s">
        <v>870</v>
      </c>
      <c r="J99">
        <f>0.95</f>
        <v>0.95</v>
      </c>
      <c r="K99">
        <f>0.9</f>
        <v>0.9</v>
      </c>
      <c r="L99">
        <v>0.85</v>
      </c>
      <c r="M99">
        <v>0.8</v>
      </c>
      <c r="N99">
        <v>-1</v>
      </c>
      <c r="O99" t="s">
        <v>1879</v>
      </c>
    </row>
    <row r="100" spans="3:15" x14ac:dyDescent="0.25">
      <c r="D100">
        <f>108*3+80</f>
        <v>404</v>
      </c>
      <c r="F100">
        <v>1</v>
      </c>
      <c r="G100">
        <v>1</v>
      </c>
      <c r="H100" t="s">
        <v>966</v>
      </c>
      <c r="J100">
        <v>44</v>
      </c>
      <c r="K100">
        <v>22</v>
      </c>
      <c r="L100">
        <v>14</v>
      </c>
      <c r="M100">
        <v>10</v>
      </c>
      <c r="N100">
        <v>-2</v>
      </c>
      <c r="O100" t="s">
        <v>1512</v>
      </c>
    </row>
    <row r="101" spans="3:15" x14ac:dyDescent="0.25">
      <c r="D101">
        <f>270/D100</f>
        <v>0.66831683168316836</v>
      </c>
      <c r="F101">
        <f>SUM(F96:F100)</f>
        <v>5</v>
      </c>
      <c r="G101">
        <f>SUM(G96:G100)</f>
        <v>5</v>
      </c>
      <c r="H101" t="s">
        <v>231</v>
      </c>
      <c r="J101">
        <f>J99^J100</f>
        <v>0.10467395472325518</v>
      </c>
      <c r="K101">
        <f>K99^K100</f>
        <v>9.8477090218361235E-2</v>
      </c>
      <c r="L101">
        <f>L99^L100</f>
        <v>0.10276966953088429</v>
      </c>
      <c r="M101">
        <f>M99^M100</f>
        <v>0.10737418240000011</v>
      </c>
      <c r="N101">
        <v>-2</v>
      </c>
      <c r="O101" t="s">
        <v>1661</v>
      </c>
    </row>
    <row r="102" spans="3:15" x14ac:dyDescent="0.25">
      <c r="N102">
        <v>-2</v>
      </c>
      <c r="O102" t="s">
        <v>1192</v>
      </c>
    </row>
    <row r="103" spans="3:15" x14ac:dyDescent="0.25">
      <c r="C103">
        <f>5.5+10</f>
        <v>15.5</v>
      </c>
      <c r="D103">
        <f>108*3+80</f>
        <v>404</v>
      </c>
      <c r="I103">
        <f>F105-650</f>
        <v>480</v>
      </c>
    </row>
    <row r="104" spans="3:15" x14ac:dyDescent="0.25">
      <c r="C104">
        <f>C103*4</f>
        <v>62</v>
      </c>
      <c r="I104">
        <f>I103/F106</f>
        <v>2.831858407079646</v>
      </c>
    </row>
    <row r="105" spans="3:15" x14ac:dyDescent="0.25">
      <c r="F105">
        <f>350*3+80</f>
        <v>1130</v>
      </c>
      <c r="G105">
        <f>F105-D107</f>
        <v>809.4064516129032</v>
      </c>
    </row>
    <row r="106" spans="3:15" x14ac:dyDescent="0.25">
      <c r="D106">
        <f>D103/C104</f>
        <v>6.5161290322580649</v>
      </c>
      <c r="F106">
        <f>F105*0.15</f>
        <v>169.5</v>
      </c>
      <c r="G106">
        <f>G105/F106</f>
        <v>4.7752593015510509</v>
      </c>
      <c r="N106">
        <f>SUM(N96:N105)</f>
        <v>-7</v>
      </c>
    </row>
    <row r="107" spans="3:15" x14ac:dyDescent="0.25">
      <c r="D107">
        <f>D106*D97</f>
        <v>320.5935483870968</v>
      </c>
      <c r="H107">
        <f>350*3+80</f>
        <v>1130</v>
      </c>
    </row>
    <row r="108" spans="3:15" x14ac:dyDescent="0.25">
      <c r="H108">
        <f>H107-320</f>
        <v>810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1:T42"/>
  <sheetViews>
    <sheetView workbookViewId="0">
      <selection activeCell="E20" sqref="E20"/>
    </sheetView>
  </sheetViews>
  <sheetFormatPr defaultRowHeight="15" x14ac:dyDescent="0.25"/>
  <cols>
    <col min="9" max="9" width="22.42578125" customWidth="1"/>
    <col min="14" max="14" width="12.85546875" customWidth="1"/>
  </cols>
  <sheetData>
    <row r="1" spans="2:20" x14ac:dyDescent="0.25">
      <c r="T1" t="s">
        <v>2413</v>
      </c>
    </row>
    <row r="3" spans="2:20" x14ac:dyDescent="0.25">
      <c r="F3" t="s">
        <v>31</v>
      </c>
      <c r="G3" t="s">
        <v>617</v>
      </c>
      <c r="H3" t="s">
        <v>231</v>
      </c>
    </row>
    <row r="4" spans="2:20" x14ac:dyDescent="0.25">
      <c r="D4" t="s">
        <v>1834</v>
      </c>
      <c r="E4" t="s">
        <v>1835</v>
      </c>
      <c r="F4" t="s">
        <v>1836</v>
      </c>
      <c r="G4" t="s">
        <v>1836</v>
      </c>
      <c r="H4" t="s">
        <v>1836</v>
      </c>
    </row>
    <row r="5" spans="2:20" x14ac:dyDescent="0.25">
      <c r="B5" t="s">
        <v>1837</v>
      </c>
      <c r="D5">
        <f>4+1</f>
        <v>5</v>
      </c>
      <c r="E5">
        <f>4+1</f>
        <v>5</v>
      </c>
      <c r="F5">
        <f>4+1</f>
        <v>5</v>
      </c>
      <c r="G5">
        <v>2</v>
      </c>
      <c r="H5">
        <f>F5+G5</f>
        <v>7</v>
      </c>
      <c r="I5">
        <f>SUM(D5:G5)</f>
        <v>17</v>
      </c>
    </row>
    <row r="6" spans="2:20" x14ac:dyDescent="0.25">
      <c r="B6" t="s">
        <v>1238</v>
      </c>
      <c r="D6">
        <f>6+1</f>
        <v>7</v>
      </c>
      <c r="E6">
        <v>6</v>
      </c>
      <c r="F6">
        <v>6</v>
      </c>
      <c r="H6">
        <f>F6+G6</f>
        <v>6</v>
      </c>
      <c r="I6">
        <f>SUM(D6:G6)</f>
        <v>19</v>
      </c>
    </row>
    <row r="7" spans="2:20" x14ac:dyDescent="0.25">
      <c r="B7" t="s">
        <v>1489</v>
      </c>
      <c r="D7">
        <f>3+1+1</f>
        <v>5</v>
      </c>
      <c r="E7">
        <f>3+1+1</f>
        <v>5</v>
      </c>
      <c r="F7">
        <f>2+1</f>
        <v>3</v>
      </c>
      <c r="G7">
        <v>4</v>
      </c>
      <c r="H7">
        <f>F7+G7</f>
        <v>7</v>
      </c>
      <c r="I7">
        <f>SUM(D7:G7)</f>
        <v>17</v>
      </c>
    </row>
    <row r="10" spans="2:20" x14ac:dyDescent="0.25">
      <c r="D10" t="s">
        <v>1838</v>
      </c>
    </row>
    <row r="11" spans="2:20" x14ac:dyDescent="0.25">
      <c r="B11" t="s">
        <v>1489</v>
      </c>
      <c r="D11">
        <f>D7</f>
        <v>5</v>
      </c>
      <c r="F11">
        <f>F7</f>
        <v>3</v>
      </c>
      <c r="G11">
        <f>G7+E7</f>
        <v>9</v>
      </c>
      <c r="I11">
        <f>SUM(D11:G11)</f>
        <v>17</v>
      </c>
    </row>
    <row r="12" spans="2:20" x14ac:dyDescent="0.25">
      <c r="D12" t="s">
        <v>1839</v>
      </c>
    </row>
    <row r="13" spans="2:20" x14ac:dyDescent="0.25">
      <c r="F13" t="s">
        <v>31</v>
      </c>
      <c r="G13" t="s">
        <v>617</v>
      </c>
      <c r="H13" t="s">
        <v>231</v>
      </c>
    </row>
    <row r="14" spans="2:20" x14ac:dyDescent="0.25">
      <c r="D14" t="s">
        <v>1834</v>
      </c>
      <c r="E14" t="s">
        <v>1835</v>
      </c>
      <c r="F14" t="s">
        <v>1836</v>
      </c>
      <c r="G14" t="s">
        <v>1836</v>
      </c>
      <c r="H14" t="s">
        <v>1836</v>
      </c>
      <c r="J14" t="s">
        <v>857</v>
      </c>
      <c r="K14" t="s">
        <v>1840</v>
      </c>
      <c r="L14" t="s">
        <v>1841</v>
      </c>
      <c r="M14" t="s">
        <v>1842</v>
      </c>
    </row>
    <row r="15" spans="2:20" x14ac:dyDescent="0.25">
      <c r="B15" t="s">
        <v>1837</v>
      </c>
      <c r="E15">
        <f>4+1</f>
        <v>5</v>
      </c>
      <c r="F15">
        <f>4+1</f>
        <v>5</v>
      </c>
      <c r="G15">
        <v>3</v>
      </c>
      <c r="H15">
        <f>F15+G15</f>
        <v>8</v>
      </c>
      <c r="I15">
        <f>SUM(D15:G15)</f>
        <v>13</v>
      </c>
      <c r="J15">
        <f>D5</f>
        <v>5</v>
      </c>
      <c r="K15">
        <f>I15*J15</f>
        <v>65</v>
      </c>
      <c r="L15">
        <f>E15*J15</f>
        <v>25</v>
      </c>
      <c r="M15">
        <f>J15*H15</f>
        <v>40</v>
      </c>
    </row>
    <row r="16" spans="2:20" x14ac:dyDescent="0.25">
      <c r="B16" t="s">
        <v>1238</v>
      </c>
      <c r="E16">
        <v>6</v>
      </c>
      <c r="F16">
        <v>6</v>
      </c>
      <c r="H16">
        <f>F16+G16</f>
        <v>6</v>
      </c>
      <c r="I16">
        <f>SUM(D16:G16)</f>
        <v>12</v>
      </c>
      <c r="J16">
        <f>D6</f>
        <v>7</v>
      </c>
      <c r="K16">
        <f>I16*J16</f>
        <v>84</v>
      </c>
      <c r="L16">
        <f>E16*J16</f>
        <v>42</v>
      </c>
      <c r="M16">
        <f>J16*H16</f>
        <v>42</v>
      </c>
    </row>
    <row r="17" spans="2:13" x14ac:dyDescent="0.25">
      <c r="B17" t="s">
        <v>1489</v>
      </c>
      <c r="F17">
        <f>2+1</f>
        <v>3</v>
      </c>
      <c r="G17">
        <v>9</v>
      </c>
      <c r="H17">
        <f>F17+G17</f>
        <v>12</v>
      </c>
      <c r="I17">
        <f>SUM(D17:G17)</f>
        <v>12</v>
      </c>
      <c r="J17">
        <f>D7</f>
        <v>5</v>
      </c>
      <c r="K17">
        <f>I17*J17</f>
        <v>60</v>
      </c>
      <c r="L17">
        <f>E17*J17</f>
        <v>0</v>
      </c>
      <c r="M17">
        <f>J17*H17</f>
        <v>60</v>
      </c>
    </row>
    <row r="35" spans="2:20" x14ac:dyDescent="0.25">
      <c r="B35" s="1"/>
      <c r="C35" s="1"/>
      <c r="D35" s="1"/>
      <c r="E35" s="1"/>
      <c r="F35" s="1"/>
      <c r="G35" s="1"/>
      <c r="H35" s="1"/>
      <c r="I35" s="1"/>
      <c r="J35" s="1"/>
      <c r="L35" s="1"/>
      <c r="M35" s="1"/>
      <c r="N35" s="1"/>
      <c r="O35" s="1"/>
      <c r="P35" s="1"/>
      <c r="Q35" s="1"/>
      <c r="R35" s="1"/>
      <c r="S35" s="1"/>
      <c r="T35" s="1"/>
    </row>
    <row r="36" spans="2:20" x14ac:dyDescent="0.25">
      <c r="B36" s="1"/>
      <c r="C36" s="1"/>
      <c r="D36" s="1"/>
      <c r="E36" s="1"/>
      <c r="F36" s="1"/>
      <c r="G36" s="1"/>
      <c r="H36" s="1"/>
      <c r="I36" s="1"/>
      <c r="J36" s="1"/>
      <c r="L36" s="1"/>
      <c r="M36" s="1"/>
      <c r="N36" s="1"/>
      <c r="O36" s="1"/>
      <c r="P36" s="1"/>
      <c r="Q36" s="1"/>
    </row>
    <row r="37" spans="2:20" x14ac:dyDescent="0.25">
      <c r="B37" s="1"/>
      <c r="C37" s="1"/>
      <c r="D37" s="1"/>
      <c r="E37" s="1"/>
      <c r="F37" s="1"/>
      <c r="G37" s="1"/>
      <c r="H37" s="1"/>
      <c r="I37" s="1"/>
      <c r="J37" s="1"/>
      <c r="L37" s="1"/>
      <c r="M37" s="1"/>
      <c r="N37" s="1"/>
      <c r="O37" s="1"/>
      <c r="P37" s="1"/>
      <c r="Q37" s="1"/>
      <c r="T37" s="1"/>
    </row>
    <row r="38" spans="2:20" x14ac:dyDescent="0.25">
      <c r="B38" s="1"/>
      <c r="C38" s="1"/>
      <c r="D38" s="1"/>
      <c r="E38" s="1"/>
      <c r="F38" s="1"/>
      <c r="G38" s="1"/>
      <c r="H38" s="1"/>
      <c r="I38" s="1"/>
      <c r="J38" s="1"/>
      <c r="L38" s="1"/>
      <c r="M38" s="1"/>
      <c r="N38" s="1"/>
      <c r="O38" s="1"/>
      <c r="P38" s="1"/>
      <c r="Q38" s="1"/>
      <c r="R38" s="1"/>
      <c r="S38" s="1"/>
      <c r="T38" s="1"/>
    </row>
    <row r="39" spans="2:20" x14ac:dyDescent="0.25">
      <c r="B39" s="1"/>
      <c r="C39" s="1"/>
      <c r="D39" s="1"/>
      <c r="E39" s="1"/>
      <c r="F39" s="1"/>
      <c r="G39" s="1"/>
      <c r="H39" s="1"/>
      <c r="I39" s="1"/>
      <c r="J39" s="1"/>
      <c r="L39" s="1"/>
      <c r="M39" s="1"/>
      <c r="N39" s="1"/>
      <c r="O39" s="1"/>
      <c r="P39" s="1"/>
      <c r="Q39" s="1"/>
      <c r="R39" s="1"/>
      <c r="S39" s="1"/>
      <c r="T39" s="1"/>
    </row>
    <row r="40" spans="2:20" x14ac:dyDescent="0.25">
      <c r="B40" s="1"/>
      <c r="C40" s="1"/>
      <c r="D40" s="1"/>
      <c r="E40" s="1"/>
      <c r="F40" s="1"/>
      <c r="G40" s="1"/>
      <c r="H40" s="1"/>
      <c r="I40" s="1"/>
      <c r="J40" s="1"/>
      <c r="L40" s="1"/>
      <c r="M40" s="1"/>
      <c r="N40" s="1"/>
      <c r="O40" s="1"/>
      <c r="P40" s="1"/>
      <c r="Q40" s="1"/>
      <c r="R40" s="1"/>
      <c r="S40" s="1"/>
      <c r="T40" s="1"/>
    </row>
    <row r="41" spans="2:20" x14ac:dyDescent="0.25">
      <c r="L41" s="1"/>
    </row>
    <row r="42" spans="2:20" x14ac:dyDescent="0.25">
      <c r="L42" s="1"/>
    </row>
  </sheetData>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T79"/>
  <sheetViews>
    <sheetView topLeftCell="A67" workbookViewId="0">
      <selection activeCell="H9" sqref="H9"/>
    </sheetView>
  </sheetViews>
  <sheetFormatPr defaultRowHeight="15" x14ac:dyDescent="0.25"/>
  <sheetData>
    <row r="1" spans="1:20" x14ac:dyDescent="0.25">
      <c r="D1" t="s">
        <v>512</v>
      </c>
      <c r="E1" t="s">
        <v>1082</v>
      </c>
      <c r="F1" t="s">
        <v>1143</v>
      </c>
      <c r="G1" t="s">
        <v>1882</v>
      </c>
      <c r="H1" t="s">
        <v>1881</v>
      </c>
      <c r="I1" t="s">
        <v>1082</v>
      </c>
      <c r="J1" t="s">
        <v>1572</v>
      </c>
      <c r="K1" t="s">
        <v>1081</v>
      </c>
      <c r="L1" t="s">
        <v>617</v>
      </c>
      <c r="M1" t="s">
        <v>2000</v>
      </c>
      <c r="N1" t="s">
        <v>2092</v>
      </c>
      <c r="O1" t="s">
        <v>672</v>
      </c>
      <c r="P1" t="s">
        <v>1566</v>
      </c>
      <c r="Q1" t="s">
        <v>1106</v>
      </c>
      <c r="R1" t="s">
        <v>2115</v>
      </c>
    </row>
    <row r="2" spans="1:20" x14ac:dyDescent="0.25">
      <c r="A2" t="s">
        <v>212</v>
      </c>
      <c r="C2">
        <v>10</v>
      </c>
      <c r="D2">
        <v>10</v>
      </c>
      <c r="E2">
        <v>10</v>
      </c>
      <c r="F2">
        <v>10</v>
      </c>
      <c r="G2">
        <v>-10</v>
      </c>
      <c r="H2">
        <v>10</v>
      </c>
      <c r="I2">
        <v>10</v>
      </c>
      <c r="J2">
        <v>10</v>
      </c>
      <c r="K2">
        <v>10</v>
      </c>
      <c r="L2">
        <v>10</v>
      </c>
      <c r="M2">
        <v>10</v>
      </c>
      <c r="N2">
        <v>10</v>
      </c>
      <c r="O2">
        <v>10</v>
      </c>
      <c r="P2">
        <v>10</v>
      </c>
      <c r="Q2">
        <v>10</v>
      </c>
      <c r="R2">
        <v>10</v>
      </c>
      <c r="S2">
        <v>10</v>
      </c>
      <c r="T2">
        <v>10</v>
      </c>
    </row>
    <row r="3" spans="1:20" x14ac:dyDescent="0.25">
      <c r="A3" t="s">
        <v>1821</v>
      </c>
      <c r="C3">
        <v>-4</v>
      </c>
      <c r="D3">
        <v>-6</v>
      </c>
      <c r="E3">
        <v>-16</v>
      </c>
      <c r="F3">
        <v>-6</v>
      </c>
      <c r="H3">
        <v>-9</v>
      </c>
      <c r="I3">
        <v>-10</v>
      </c>
      <c r="J3">
        <v>-16</v>
      </c>
      <c r="N3">
        <v>-6</v>
      </c>
      <c r="O3">
        <v>-9</v>
      </c>
      <c r="Q3">
        <f>-9</f>
        <v>-9</v>
      </c>
    </row>
    <row r="4" spans="1:20" x14ac:dyDescent="0.25">
      <c r="A4" t="s">
        <v>635</v>
      </c>
      <c r="C4">
        <v>-9</v>
      </c>
      <c r="K4">
        <v>-6</v>
      </c>
      <c r="L4">
        <v>-9</v>
      </c>
      <c r="R4">
        <v>-20</v>
      </c>
    </row>
    <row r="5" spans="1:20" x14ac:dyDescent="0.25">
      <c r="C5">
        <v>-3</v>
      </c>
      <c r="M5">
        <v>-9</v>
      </c>
    </row>
    <row r="6" spans="1:20" x14ac:dyDescent="0.25">
      <c r="A6" t="s">
        <v>1820</v>
      </c>
      <c r="C6">
        <v>-3</v>
      </c>
      <c r="D6">
        <v>-3</v>
      </c>
      <c r="M6">
        <v>-3</v>
      </c>
      <c r="P6">
        <v>-3</v>
      </c>
    </row>
    <row r="7" spans="1:20" x14ac:dyDescent="0.25">
      <c r="A7" t="s">
        <v>682</v>
      </c>
      <c r="C7">
        <v>-3</v>
      </c>
      <c r="D7">
        <v>-3</v>
      </c>
      <c r="F7">
        <v>-3</v>
      </c>
      <c r="H7">
        <v>-3</v>
      </c>
      <c r="I7">
        <v>-3</v>
      </c>
      <c r="L7">
        <v>-3</v>
      </c>
      <c r="O7">
        <v>-3</v>
      </c>
      <c r="Q7">
        <v>-3</v>
      </c>
    </row>
    <row r="8" spans="1:20" x14ac:dyDescent="0.25">
      <c r="A8" t="s">
        <v>1480</v>
      </c>
      <c r="C8">
        <v>-10</v>
      </c>
      <c r="F8">
        <v>-10</v>
      </c>
    </row>
    <row r="9" spans="1:20" x14ac:dyDescent="0.25">
      <c r="A9" t="s">
        <v>639</v>
      </c>
      <c r="C9">
        <v>-5</v>
      </c>
      <c r="F9">
        <v>-5</v>
      </c>
    </row>
    <row r="10" spans="1:20" x14ac:dyDescent="0.25">
      <c r="A10" t="s">
        <v>1822</v>
      </c>
      <c r="C10">
        <v>-2</v>
      </c>
      <c r="O10">
        <v>-2</v>
      </c>
      <c r="Q10">
        <v>-2</v>
      </c>
    </row>
    <row r="11" spans="1:20" x14ac:dyDescent="0.25">
      <c r="A11" t="s">
        <v>1081</v>
      </c>
      <c r="C11">
        <v>-3</v>
      </c>
      <c r="K11">
        <v>-3</v>
      </c>
    </row>
    <row r="12" spans="1:20" x14ac:dyDescent="0.25">
      <c r="A12" t="s">
        <v>640</v>
      </c>
      <c r="C12">
        <v>-1</v>
      </c>
      <c r="F12">
        <v>-1</v>
      </c>
      <c r="G12">
        <v>-1</v>
      </c>
      <c r="H12">
        <v>-1</v>
      </c>
      <c r="I12">
        <v>-1</v>
      </c>
      <c r="J12">
        <v>-1</v>
      </c>
      <c r="L12">
        <v>-1</v>
      </c>
      <c r="M12">
        <v>-1</v>
      </c>
      <c r="R12">
        <v>-1</v>
      </c>
    </row>
    <row r="14" spans="1:20" x14ac:dyDescent="0.25">
      <c r="A14" t="s">
        <v>647</v>
      </c>
      <c r="C14">
        <v>-2</v>
      </c>
      <c r="I14">
        <v>-2</v>
      </c>
      <c r="L14">
        <v>-2</v>
      </c>
    </row>
    <row r="15" spans="1:20" x14ac:dyDescent="0.25">
      <c r="A15" t="s">
        <v>513</v>
      </c>
      <c r="C15">
        <v>-4</v>
      </c>
      <c r="D15">
        <f>-1*(4*4)</f>
        <v>-16</v>
      </c>
      <c r="I15">
        <v>-4</v>
      </c>
      <c r="K15">
        <v>-4</v>
      </c>
      <c r="L15">
        <v>-4</v>
      </c>
      <c r="N15">
        <f>-1*(4*6)</f>
        <v>-24</v>
      </c>
    </row>
    <row r="17" spans="1:18" x14ac:dyDescent="0.25">
      <c r="A17" t="s">
        <v>644</v>
      </c>
      <c r="C17">
        <v>-1</v>
      </c>
      <c r="E17">
        <v>-1</v>
      </c>
      <c r="F17">
        <v>-1</v>
      </c>
      <c r="G17">
        <v>-1</v>
      </c>
      <c r="H17">
        <v>-1</v>
      </c>
      <c r="I17">
        <v>-1</v>
      </c>
      <c r="J17">
        <v>-1</v>
      </c>
      <c r="K17">
        <v>-1</v>
      </c>
      <c r="L17">
        <v>-1</v>
      </c>
      <c r="M17">
        <v>-1</v>
      </c>
      <c r="O17">
        <v>-2</v>
      </c>
      <c r="Q17">
        <v>-1</v>
      </c>
      <c r="R17">
        <v>-1</v>
      </c>
    </row>
    <row r="18" spans="1:18" x14ac:dyDescent="0.25">
      <c r="A18" t="s">
        <v>810</v>
      </c>
      <c r="C18">
        <v>-1</v>
      </c>
      <c r="N18">
        <v>-1</v>
      </c>
      <c r="P18">
        <v>-2</v>
      </c>
    </row>
    <row r="19" spans="1:18" x14ac:dyDescent="0.25">
      <c r="A19" t="s">
        <v>1827</v>
      </c>
      <c r="C19">
        <v>-1</v>
      </c>
      <c r="E19">
        <v>-2</v>
      </c>
      <c r="F19">
        <v>-2</v>
      </c>
      <c r="G19">
        <v>-2</v>
      </c>
      <c r="H19">
        <v>-2</v>
      </c>
      <c r="I19">
        <v>-2</v>
      </c>
      <c r="J19">
        <v>-2</v>
      </c>
      <c r="K19">
        <v>-2</v>
      </c>
      <c r="L19">
        <v>-2</v>
      </c>
      <c r="O19">
        <v>-2</v>
      </c>
      <c r="Q19">
        <v>-2</v>
      </c>
      <c r="R19">
        <v>-2</v>
      </c>
    </row>
    <row r="20" spans="1:18" x14ac:dyDescent="0.25">
      <c r="A20" t="s">
        <v>641</v>
      </c>
      <c r="C20">
        <v>-2</v>
      </c>
      <c r="E20">
        <v>-2</v>
      </c>
      <c r="F20">
        <v>-2</v>
      </c>
      <c r="G20">
        <v>-2</v>
      </c>
      <c r="H20">
        <v>-2</v>
      </c>
      <c r="I20">
        <v>-2</v>
      </c>
      <c r="J20">
        <v>-2</v>
      </c>
      <c r="L20">
        <v>-2</v>
      </c>
      <c r="O20">
        <v>-2</v>
      </c>
      <c r="P20">
        <v>-2</v>
      </c>
      <c r="Q20">
        <v>-2</v>
      </c>
      <c r="R20">
        <v>-2</v>
      </c>
    </row>
    <row r="21" spans="1:18" x14ac:dyDescent="0.25">
      <c r="A21" t="s">
        <v>642</v>
      </c>
      <c r="C21">
        <v>-1</v>
      </c>
      <c r="L21">
        <v>-1</v>
      </c>
      <c r="M21">
        <v>-1</v>
      </c>
    </row>
    <row r="22" spans="1:18" x14ac:dyDescent="0.25">
      <c r="A22" t="s">
        <v>1589</v>
      </c>
      <c r="C22">
        <v>-2</v>
      </c>
      <c r="G22">
        <v>-2</v>
      </c>
      <c r="I22">
        <v>-2</v>
      </c>
      <c r="J22">
        <v>-2</v>
      </c>
      <c r="L22">
        <v>-2</v>
      </c>
      <c r="R22">
        <v>-2</v>
      </c>
    </row>
    <row r="23" spans="1:18" x14ac:dyDescent="0.25">
      <c r="A23" t="s">
        <v>1825</v>
      </c>
      <c r="C23">
        <v>-7</v>
      </c>
    </row>
    <row r="24" spans="1:18" x14ac:dyDescent="0.25">
      <c r="F24">
        <v>-2</v>
      </c>
    </row>
    <row r="25" spans="1:18" x14ac:dyDescent="0.25">
      <c r="A25" t="s">
        <v>834</v>
      </c>
      <c r="C25">
        <v>4</v>
      </c>
      <c r="P25">
        <v>4</v>
      </c>
    </row>
    <row r="26" spans="1:18" x14ac:dyDescent="0.25">
      <c r="A26" t="s">
        <v>1453</v>
      </c>
      <c r="C26">
        <v>-1</v>
      </c>
      <c r="G26">
        <v>-1</v>
      </c>
      <c r="H26">
        <v>-1</v>
      </c>
      <c r="K26">
        <v>-1</v>
      </c>
      <c r="L26">
        <v>-1</v>
      </c>
      <c r="P26">
        <v>-1</v>
      </c>
      <c r="Q26">
        <v>-1</v>
      </c>
      <c r="R26">
        <v>-1</v>
      </c>
    </row>
    <row r="27" spans="1:18" x14ac:dyDescent="0.25">
      <c r="A27" t="s">
        <v>1880</v>
      </c>
      <c r="C27">
        <v>-2</v>
      </c>
    </row>
    <row r="30" spans="1:18" x14ac:dyDescent="0.25">
      <c r="A30" t="s">
        <v>1826</v>
      </c>
      <c r="C30">
        <v>-2</v>
      </c>
      <c r="D30">
        <v>-2</v>
      </c>
      <c r="E30">
        <v>-2</v>
      </c>
      <c r="G30">
        <v>-2</v>
      </c>
      <c r="H30">
        <v>-2</v>
      </c>
      <c r="I30">
        <v>-2</v>
      </c>
      <c r="K30">
        <v>-2</v>
      </c>
      <c r="L30">
        <v>-2</v>
      </c>
      <c r="M30">
        <v>-2</v>
      </c>
      <c r="N30">
        <v>-2</v>
      </c>
      <c r="Q30">
        <v>-2</v>
      </c>
      <c r="R30">
        <v>-2</v>
      </c>
    </row>
    <row r="31" spans="1:18" x14ac:dyDescent="0.25">
      <c r="A31" t="s">
        <v>1879</v>
      </c>
      <c r="C31">
        <v>-2</v>
      </c>
      <c r="D31">
        <v>-1</v>
      </c>
      <c r="G31">
        <v>-2</v>
      </c>
      <c r="H31">
        <v>-2</v>
      </c>
      <c r="I31">
        <v>-1</v>
      </c>
      <c r="K31">
        <v>-1</v>
      </c>
      <c r="L31">
        <v>-1</v>
      </c>
      <c r="N31">
        <v>-1</v>
      </c>
      <c r="R31">
        <v>-2</v>
      </c>
    </row>
    <row r="32" spans="1:18" x14ac:dyDescent="0.25">
      <c r="A32" t="s">
        <v>1823</v>
      </c>
      <c r="C32">
        <v>-4</v>
      </c>
      <c r="D32">
        <v>-4</v>
      </c>
      <c r="E32">
        <v>-5</v>
      </c>
      <c r="H32">
        <v>-4</v>
      </c>
      <c r="K32">
        <v>-4</v>
      </c>
      <c r="M32">
        <v>-4</v>
      </c>
      <c r="N32">
        <v>-4</v>
      </c>
      <c r="O32">
        <v>-4</v>
      </c>
      <c r="P32">
        <v>4</v>
      </c>
      <c r="Q32">
        <v>-4</v>
      </c>
    </row>
    <row r="33" spans="1:20" x14ac:dyDescent="0.25">
      <c r="A33" t="s">
        <v>1824</v>
      </c>
      <c r="C33">
        <v>-6</v>
      </c>
      <c r="G33">
        <v>-6</v>
      </c>
      <c r="I33">
        <v>-6</v>
      </c>
      <c r="L33">
        <v>-6</v>
      </c>
      <c r="R33">
        <v>-5</v>
      </c>
    </row>
    <row r="34" spans="1:20" x14ac:dyDescent="0.25">
      <c r="A34" t="s">
        <v>1463</v>
      </c>
      <c r="C34">
        <v>-3</v>
      </c>
      <c r="E34">
        <v>-3</v>
      </c>
      <c r="G34">
        <v>-3</v>
      </c>
      <c r="H34">
        <v>-3</v>
      </c>
      <c r="I34">
        <v>-3</v>
      </c>
      <c r="K34">
        <v>-3</v>
      </c>
      <c r="L34">
        <v>-3</v>
      </c>
      <c r="N34">
        <v>-3</v>
      </c>
    </row>
    <row r="35" spans="1:20" x14ac:dyDescent="0.25">
      <c r="A35" t="s">
        <v>922</v>
      </c>
      <c r="C35">
        <v>-3</v>
      </c>
      <c r="K35">
        <v>-3</v>
      </c>
      <c r="R35">
        <v>-3</v>
      </c>
    </row>
    <row r="36" spans="1:20" x14ac:dyDescent="0.25">
      <c r="C36">
        <f t="shared" ref="C36:K36" si="0">SUM(C2:C35)</f>
        <v>-73</v>
      </c>
      <c r="D36">
        <f t="shared" si="0"/>
        <v>-25</v>
      </c>
      <c r="E36">
        <f t="shared" si="0"/>
        <v>-21</v>
      </c>
      <c r="F36">
        <f t="shared" si="0"/>
        <v>-22</v>
      </c>
      <c r="G36">
        <f t="shared" si="0"/>
        <v>-32</v>
      </c>
      <c r="H36">
        <f t="shared" si="0"/>
        <v>-20</v>
      </c>
      <c r="I36">
        <f t="shared" si="0"/>
        <v>-29</v>
      </c>
      <c r="J36">
        <f t="shared" si="0"/>
        <v>-14</v>
      </c>
      <c r="K36">
        <f t="shared" si="0"/>
        <v>-20</v>
      </c>
      <c r="L36">
        <f t="shared" ref="L36:T36" si="1">SUM(L2:L35)</f>
        <v>-30</v>
      </c>
      <c r="M36">
        <f t="shared" si="1"/>
        <v>-11</v>
      </c>
      <c r="N36">
        <f t="shared" si="1"/>
        <v>-31</v>
      </c>
      <c r="O36">
        <f t="shared" si="1"/>
        <v>-14</v>
      </c>
      <c r="P36">
        <f t="shared" si="1"/>
        <v>10</v>
      </c>
      <c r="Q36">
        <f t="shared" si="1"/>
        <v>-16</v>
      </c>
      <c r="R36">
        <f>SUM(R2:R35)</f>
        <v>-31</v>
      </c>
      <c r="S36">
        <f t="shared" si="1"/>
        <v>10</v>
      </c>
      <c r="T36">
        <f t="shared" si="1"/>
        <v>10</v>
      </c>
    </row>
    <row r="42" spans="1:20" x14ac:dyDescent="0.25">
      <c r="M42" t="s">
        <v>670</v>
      </c>
      <c r="N42" t="s">
        <v>1854</v>
      </c>
    </row>
    <row r="43" spans="1:20" x14ac:dyDescent="0.25">
      <c r="M43" t="s">
        <v>1858</v>
      </c>
      <c r="N43" t="s">
        <v>1629</v>
      </c>
      <c r="P43" t="s">
        <v>670</v>
      </c>
    </row>
    <row r="44" spans="1:20" x14ac:dyDescent="0.25">
      <c r="M44" t="s">
        <v>1854</v>
      </c>
      <c r="N44" t="s">
        <v>1627</v>
      </c>
      <c r="P44" t="s">
        <v>1854</v>
      </c>
    </row>
    <row r="45" spans="1:20" x14ac:dyDescent="0.25">
      <c r="M45" t="s">
        <v>1859</v>
      </c>
      <c r="N45" t="s">
        <v>1621</v>
      </c>
      <c r="P45" t="s">
        <v>667</v>
      </c>
    </row>
    <row r="46" spans="1:20" x14ac:dyDescent="0.25">
      <c r="M46" t="s">
        <v>667</v>
      </c>
      <c r="N46" t="s">
        <v>1626</v>
      </c>
      <c r="P46" t="s">
        <v>1629</v>
      </c>
    </row>
    <row r="47" spans="1:20" x14ac:dyDescent="0.25">
      <c r="M47" t="s">
        <v>1850</v>
      </c>
      <c r="N47" t="s">
        <v>672</v>
      </c>
      <c r="P47" t="s">
        <v>1507</v>
      </c>
    </row>
    <row r="48" spans="1:20" x14ac:dyDescent="0.25">
      <c r="M48" t="s">
        <v>1629</v>
      </c>
      <c r="N48" t="s">
        <v>1625</v>
      </c>
      <c r="P48" t="s">
        <v>1853</v>
      </c>
    </row>
    <row r="49" spans="13:16" x14ac:dyDescent="0.25">
      <c r="M49" t="s">
        <v>1851</v>
      </c>
      <c r="N49" t="s">
        <v>1624</v>
      </c>
      <c r="P49" t="s">
        <v>1628</v>
      </c>
    </row>
    <row r="50" spans="13:16" x14ac:dyDescent="0.25">
      <c r="M50" t="s">
        <v>1507</v>
      </c>
      <c r="N50" t="s">
        <v>1622</v>
      </c>
      <c r="P50" t="s">
        <v>671</v>
      </c>
    </row>
    <row r="51" spans="13:16" x14ac:dyDescent="0.25">
      <c r="M51" t="s">
        <v>1865</v>
      </c>
      <c r="N51" t="s">
        <v>1631</v>
      </c>
      <c r="P51" t="s">
        <v>1627</v>
      </c>
    </row>
    <row r="52" spans="13:16" x14ac:dyDescent="0.25">
      <c r="M52" t="s">
        <v>1866</v>
      </c>
      <c r="N52" t="s">
        <v>1630</v>
      </c>
      <c r="P52" t="s">
        <v>668</v>
      </c>
    </row>
    <row r="53" spans="13:16" x14ac:dyDescent="0.25">
      <c r="M53" t="s">
        <v>1867</v>
      </c>
      <c r="N53" t="s">
        <v>1597</v>
      </c>
      <c r="P53" t="s">
        <v>1622</v>
      </c>
    </row>
    <row r="54" spans="13:16" x14ac:dyDescent="0.25">
      <c r="M54" t="s">
        <v>1853</v>
      </c>
      <c r="P54" t="s">
        <v>1621</v>
      </c>
    </row>
    <row r="55" spans="13:16" x14ac:dyDescent="0.25">
      <c r="M55" t="s">
        <v>1628</v>
      </c>
      <c r="P55" t="s">
        <v>1623</v>
      </c>
    </row>
    <row r="56" spans="13:16" x14ac:dyDescent="0.25">
      <c r="M56" t="s">
        <v>671</v>
      </c>
      <c r="P56" t="s">
        <v>1626</v>
      </c>
    </row>
    <row r="57" spans="13:16" x14ac:dyDescent="0.25">
      <c r="M57" t="s">
        <v>1627</v>
      </c>
      <c r="P57" t="s">
        <v>672</v>
      </c>
    </row>
    <row r="58" spans="13:16" x14ac:dyDescent="0.25">
      <c r="M58" t="s">
        <v>1627</v>
      </c>
      <c r="P58" t="s">
        <v>1631</v>
      </c>
    </row>
    <row r="59" spans="13:16" x14ac:dyDescent="0.25">
      <c r="M59" t="s">
        <v>668</v>
      </c>
      <c r="P59" t="s">
        <v>1852</v>
      </c>
    </row>
    <row r="60" spans="13:16" x14ac:dyDescent="0.25">
      <c r="M60" t="s">
        <v>1870</v>
      </c>
      <c r="P60" t="s">
        <v>1625</v>
      </c>
    </row>
    <row r="61" spans="13:16" x14ac:dyDescent="0.25">
      <c r="M61" t="s">
        <v>1622</v>
      </c>
    </row>
    <row r="62" spans="13:16" x14ac:dyDescent="0.25">
      <c r="M62" t="s">
        <v>1855</v>
      </c>
    </row>
    <row r="63" spans="13:16" x14ac:dyDescent="0.25">
      <c r="M63" t="s">
        <v>1856</v>
      </c>
    </row>
    <row r="64" spans="13:16" x14ac:dyDescent="0.25">
      <c r="M64" t="s">
        <v>1621</v>
      </c>
    </row>
    <row r="65" spans="13:16" x14ac:dyDescent="0.25">
      <c r="M65" t="s">
        <v>1623</v>
      </c>
    </row>
    <row r="66" spans="13:16" x14ac:dyDescent="0.25">
      <c r="M66" t="s">
        <v>1626</v>
      </c>
    </row>
    <row r="67" spans="13:16" x14ac:dyDescent="0.25">
      <c r="M67" t="s">
        <v>1860</v>
      </c>
    </row>
    <row r="68" spans="13:16" x14ac:dyDescent="0.25">
      <c r="M68" t="s">
        <v>672</v>
      </c>
    </row>
    <row r="69" spans="13:16" x14ac:dyDescent="0.25">
      <c r="M69" t="s">
        <v>1631</v>
      </c>
    </row>
    <row r="70" spans="13:16" x14ac:dyDescent="0.25">
      <c r="M70" t="s">
        <v>1861</v>
      </c>
    </row>
    <row r="71" spans="13:16" x14ac:dyDescent="0.25">
      <c r="M71" t="s">
        <v>1862</v>
      </c>
    </row>
    <row r="72" spans="13:16" x14ac:dyDescent="0.25">
      <c r="M72" t="s">
        <v>1852</v>
      </c>
    </row>
    <row r="73" spans="13:16" x14ac:dyDescent="0.25">
      <c r="M73" t="s">
        <v>1864</v>
      </c>
    </row>
    <row r="74" spans="13:16" x14ac:dyDescent="0.25">
      <c r="M74" t="s">
        <v>1863</v>
      </c>
    </row>
    <row r="75" spans="13:16" x14ac:dyDescent="0.25">
      <c r="M75" t="s">
        <v>1868</v>
      </c>
    </row>
    <row r="76" spans="13:16" x14ac:dyDescent="0.25">
      <c r="M76" t="s">
        <v>1625</v>
      </c>
    </row>
    <row r="77" spans="13:16" x14ac:dyDescent="0.25">
      <c r="M77" t="s">
        <v>1869</v>
      </c>
    </row>
    <row r="78" spans="13:16" x14ac:dyDescent="0.25">
      <c r="M78" t="s">
        <v>1857</v>
      </c>
    </row>
    <row r="79" spans="13:16" x14ac:dyDescent="0.25">
      <c r="M79" t="s">
        <v>1624</v>
      </c>
      <c r="P79" t="s">
        <v>1624</v>
      </c>
    </row>
  </sheetData>
  <sortState ref="M42:M79">
    <sortCondition ref="M36"/>
  </sortState>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B1:W205"/>
  <sheetViews>
    <sheetView topLeftCell="A28" workbookViewId="0">
      <selection activeCell="C27" sqref="C27"/>
    </sheetView>
  </sheetViews>
  <sheetFormatPr defaultRowHeight="15" x14ac:dyDescent="0.25"/>
  <sheetData>
    <row r="1" spans="10:13" x14ac:dyDescent="0.25">
      <c r="J1" t="s">
        <v>1955</v>
      </c>
    </row>
    <row r="2" spans="10:13" x14ac:dyDescent="0.25">
      <c r="J2" t="s">
        <v>1951</v>
      </c>
      <c r="L2">
        <v>2</v>
      </c>
      <c r="M2" t="s">
        <v>1952</v>
      </c>
    </row>
    <row r="3" spans="10:13" x14ac:dyDescent="0.25">
      <c r="J3" t="s">
        <v>1953</v>
      </c>
      <c r="L3">
        <v>3</v>
      </c>
      <c r="M3" t="s">
        <v>1952</v>
      </c>
    </row>
    <row r="4" spans="10:13" x14ac:dyDescent="0.25">
      <c r="J4" t="s">
        <v>1954</v>
      </c>
      <c r="L4">
        <v>2</v>
      </c>
      <c r="M4" t="s">
        <v>1952</v>
      </c>
    </row>
    <row r="5" spans="10:13" x14ac:dyDescent="0.25">
      <c r="J5" t="s">
        <v>1956</v>
      </c>
      <c r="L5">
        <v>1</v>
      </c>
      <c r="M5" t="s">
        <v>1952</v>
      </c>
    </row>
    <row r="6" spans="10:13" x14ac:dyDescent="0.25">
      <c r="J6" t="s">
        <v>1957</v>
      </c>
      <c r="L6">
        <v>1.5</v>
      </c>
      <c r="M6" t="s">
        <v>1961</v>
      </c>
    </row>
    <row r="7" spans="10:13" x14ac:dyDescent="0.25">
      <c r="J7" t="s">
        <v>1958</v>
      </c>
      <c r="L7">
        <v>1</v>
      </c>
      <c r="M7" t="s">
        <v>1961</v>
      </c>
    </row>
    <row r="8" spans="10:13" x14ac:dyDescent="0.25">
      <c r="J8" t="s">
        <v>1960</v>
      </c>
      <c r="L8">
        <v>2</v>
      </c>
      <c r="M8" t="s">
        <v>1961</v>
      </c>
    </row>
    <row r="9" spans="10:13" x14ac:dyDescent="0.25">
      <c r="J9" t="s">
        <v>1959</v>
      </c>
      <c r="L9">
        <v>1</v>
      </c>
      <c r="M9" t="s">
        <v>1961</v>
      </c>
    </row>
    <row r="10" spans="10:13" x14ac:dyDescent="0.25">
      <c r="J10" t="s">
        <v>1962</v>
      </c>
      <c r="L10">
        <v>3</v>
      </c>
      <c r="M10" t="s">
        <v>1964</v>
      </c>
    </row>
    <row r="11" spans="10:13" x14ac:dyDescent="0.25">
      <c r="J11" t="s">
        <v>1963</v>
      </c>
      <c r="L11">
        <v>1</v>
      </c>
      <c r="M11" t="s">
        <v>1964</v>
      </c>
    </row>
    <row r="12" spans="10:13" x14ac:dyDescent="0.25">
      <c r="J12" t="s">
        <v>1965</v>
      </c>
      <c r="L12">
        <v>1</v>
      </c>
      <c r="M12" t="s">
        <v>1968</v>
      </c>
    </row>
    <row r="13" spans="10:13" x14ac:dyDescent="0.25">
      <c r="J13" t="s">
        <v>1966</v>
      </c>
      <c r="L13">
        <v>2</v>
      </c>
      <c r="M13" t="s">
        <v>1968</v>
      </c>
    </row>
    <row r="14" spans="10:13" x14ac:dyDescent="0.25">
      <c r="J14" t="s">
        <v>1967</v>
      </c>
      <c r="L14">
        <v>4</v>
      </c>
      <c r="M14" t="s">
        <v>1968</v>
      </c>
    </row>
    <row r="15" spans="10:13" x14ac:dyDescent="0.25">
      <c r="J15" t="s">
        <v>1969</v>
      </c>
      <c r="L15">
        <v>1</v>
      </c>
      <c r="M15" t="s">
        <v>1969</v>
      </c>
    </row>
    <row r="16" spans="10:13" x14ac:dyDescent="0.25">
      <c r="J16" t="s">
        <v>1970</v>
      </c>
      <c r="L16">
        <v>2</v>
      </c>
      <c r="M16" t="s">
        <v>1971</v>
      </c>
    </row>
    <row r="17" spans="7:13" x14ac:dyDescent="0.25">
      <c r="J17" t="s">
        <v>1972</v>
      </c>
      <c r="L17">
        <v>2</v>
      </c>
      <c r="M17" t="s">
        <v>1973</v>
      </c>
    </row>
    <row r="18" spans="7:13" x14ac:dyDescent="0.25">
      <c r="J18" t="s">
        <v>1974</v>
      </c>
      <c r="L18">
        <v>1</v>
      </c>
      <c r="M18" t="s">
        <v>1973</v>
      </c>
    </row>
    <row r="19" spans="7:13" x14ac:dyDescent="0.25">
      <c r="J19" t="s">
        <v>1975</v>
      </c>
      <c r="L19">
        <v>1</v>
      </c>
      <c r="M19" t="s">
        <v>1973</v>
      </c>
    </row>
    <row r="20" spans="7:13" x14ac:dyDescent="0.25">
      <c r="J20" t="s">
        <v>1976</v>
      </c>
      <c r="L20">
        <v>2</v>
      </c>
      <c r="M20" t="s">
        <v>1973</v>
      </c>
    </row>
    <row r="25" spans="7:13" x14ac:dyDescent="0.25">
      <c r="G25" t="s">
        <v>1978</v>
      </c>
    </row>
    <row r="26" spans="7:13" x14ac:dyDescent="0.25">
      <c r="G26" t="s">
        <v>1979</v>
      </c>
    </row>
    <row r="27" spans="7:13" x14ac:dyDescent="0.25">
      <c r="G27" t="s">
        <v>1126</v>
      </c>
      <c r="H27">
        <f>1-4</f>
        <v>-3</v>
      </c>
    </row>
    <row r="28" spans="7:13" x14ac:dyDescent="0.25">
      <c r="G28" t="s">
        <v>821</v>
      </c>
      <c r="H28">
        <f>15-5-3-4-2</f>
        <v>1</v>
      </c>
      <c r="L28" t="s">
        <v>1988</v>
      </c>
    </row>
    <row r="29" spans="7:13" x14ac:dyDescent="0.25">
      <c r="G29" t="s">
        <v>1123</v>
      </c>
      <c r="H29">
        <v>40</v>
      </c>
      <c r="L29" t="s">
        <v>1992</v>
      </c>
    </row>
    <row r="30" spans="7:13" x14ac:dyDescent="0.25">
      <c r="G30" t="s">
        <v>509</v>
      </c>
      <c r="H30">
        <v>5</v>
      </c>
      <c r="L30" t="s">
        <v>1993</v>
      </c>
    </row>
    <row r="31" spans="7:13" x14ac:dyDescent="0.25">
      <c r="G31" t="s">
        <v>985</v>
      </c>
      <c r="H31">
        <v>36</v>
      </c>
      <c r="L31" t="s">
        <v>2132</v>
      </c>
    </row>
    <row r="32" spans="7:13" x14ac:dyDescent="0.25">
      <c r="G32" t="s">
        <v>497</v>
      </c>
      <c r="H32">
        <f>2+6+4</f>
        <v>12</v>
      </c>
      <c r="L32" t="s">
        <v>2131</v>
      </c>
    </row>
    <row r="36" spans="2:12" x14ac:dyDescent="0.25">
      <c r="B36" t="s">
        <v>1917</v>
      </c>
      <c r="D36" t="s">
        <v>1918</v>
      </c>
      <c r="E36" t="s">
        <v>1977</v>
      </c>
      <c r="H36" t="s">
        <v>1927</v>
      </c>
    </row>
    <row r="37" spans="2:12" x14ac:dyDescent="0.25">
      <c r="H37" t="s">
        <v>1937</v>
      </c>
    </row>
    <row r="39" spans="2:12" x14ac:dyDescent="0.25">
      <c r="B39" t="s">
        <v>1797</v>
      </c>
      <c r="D39" t="s">
        <v>1919</v>
      </c>
    </row>
    <row r="40" spans="2:12" x14ac:dyDescent="0.25">
      <c r="B40" t="s">
        <v>968</v>
      </c>
      <c r="D40" t="s">
        <v>1920</v>
      </c>
    </row>
    <row r="43" spans="2:12" x14ac:dyDescent="0.25">
      <c r="B43" t="s">
        <v>1922</v>
      </c>
      <c r="D43" t="s">
        <v>1923</v>
      </c>
      <c r="H43" t="s">
        <v>1935</v>
      </c>
    </row>
    <row r="44" spans="2:12" x14ac:dyDescent="0.25">
      <c r="H44" t="s">
        <v>1932</v>
      </c>
    </row>
    <row r="45" spans="2:12" x14ac:dyDescent="0.25">
      <c r="H45" t="s">
        <v>1933</v>
      </c>
      <c r="L45" t="s">
        <v>1950</v>
      </c>
    </row>
    <row r="46" spans="2:12" x14ac:dyDescent="0.25">
      <c r="H46" t="s">
        <v>1934</v>
      </c>
    </row>
    <row r="47" spans="2:12" x14ac:dyDescent="0.25">
      <c r="H47" t="s">
        <v>1936</v>
      </c>
    </row>
    <row r="48" spans="2:12" x14ac:dyDescent="0.25">
      <c r="H48" t="s">
        <v>1921</v>
      </c>
    </row>
    <row r="51" spans="8:12" x14ac:dyDescent="0.25">
      <c r="H51" t="s">
        <v>1938</v>
      </c>
    </row>
    <row r="52" spans="8:12" x14ac:dyDescent="0.25">
      <c r="H52" t="s">
        <v>1939</v>
      </c>
    </row>
    <row r="53" spans="8:12" x14ac:dyDescent="0.25">
      <c r="H53" t="s">
        <v>1941</v>
      </c>
    </row>
    <row r="54" spans="8:12" x14ac:dyDescent="0.25">
      <c r="H54" t="s">
        <v>1940</v>
      </c>
    </row>
    <row r="56" spans="8:12" x14ac:dyDescent="0.25">
      <c r="H56" t="s">
        <v>1942</v>
      </c>
      <c r="L56" t="s">
        <v>1947</v>
      </c>
    </row>
    <row r="57" spans="8:12" x14ac:dyDescent="0.25">
      <c r="H57" t="s">
        <v>1943</v>
      </c>
      <c r="L57" t="s">
        <v>1948</v>
      </c>
    </row>
    <row r="58" spans="8:12" x14ac:dyDescent="0.25">
      <c r="H58" t="s">
        <v>1998</v>
      </c>
      <c r="L58" t="s">
        <v>1949</v>
      </c>
    </row>
    <row r="59" spans="8:12" x14ac:dyDescent="0.25">
      <c r="H59" t="s">
        <v>1944</v>
      </c>
      <c r="L59" t="s">
        <v>1789</v>
      </c>
    </row>
    <row r="60" spans="8:12" x14ac:dyDescent="0.25">
      <c r="H60" t="s">
        <v>1945</v>
      </c>
    </row>
    <row r="61" spans="8:12" x14ac:dyDescent="0.25">
      <c r="H61" t="s">
        <v>1946</v>
      </c>
      <c r="L61" t="s">
        <v>1062</v>
      </c>
    </row>
    <row r="62" spans="8:12" x14ac:dyDescent="0.25">
      <c r="H62" t="s">
        <v>1797</v>
      </c>
    </row>
    <row r="67" spans="4:17" x14ac:dyDescent="0.25">
      <c r="D67" s="1"/>
      <c r="E67" s="1"/>
      <c r="F67" t="s">
        <v>1291</v>
      </c>
      <c r="G67" s="1"/>
      <c r="H67" t="s">
        <v>1819</v>
      </c>
      <c r="I67" s="1"/>
      <c r="K67" t="s">
        <v>101</v>
      </c>
      <c r="L67" s="1"/>
      <c r="M67" s="1"/>
      <c r="O67" s="1"/>
      <c r="P67" t="s">
        <v>1819</v>
      </c>
      <c r="Q67" s="1"/>
    </row>
    <row r="68" spans="4:17" x14ac:dyDescent="0.25">
      <c r="D68" s="1">
        <f>20+15+10</f>
        <v>45</v>
      </c>
      <c r="E68" s="1"/>
      <c r="F68" t="s">
        <v>101</v>
      </c>
      <c r="G68" s="1"/>
      <c r="H68" t="s">
        <v>1238</v>
      </c>
      <c r="I68" s="1"/>
      <c r="K68" t="s">
        <v>1238</v>
      </c>
      <c r="L68" s="1"/>
      <c r="M68" s="1"/>
      <c r="P68" t="s">
        <v>1301</v>
      </c>
    </row>
    <row r="69" spans="4:17" x14ac:dyDescent="0.25">
      <c r="D69" s="1"/>
      <c r="E69" s="1"/>
      <c r="F69" t="s">
        <v>1819</v>
      </c>
      <c r="G69" s="1"/>
      <c r="H69" t="s">
        <v>1813</v>
      </c>
      <c r="I69" s="1"/>
      <c r="J69" s="1"/>
      <c r="K69" t="s">
        <v>552</v>
      </c>
      <c r="L69" s="1"/>
      <c r="M69" s="1"/>
      <c r="O69" s="1"/>
      <c r="P69" t="s">
        <v>1999</v>
      </c>
      <c r="Q69" s="1"/>
    </row>
    <row r="70" spans="4:17" x14ac:dyDescent="0.25">
      <c r="D70" s="1"/>
      <c r="E70" s="1"/>
      <c r="F70" t="s">
        <v>1813</v>
      </c>
      <c r="G70" s="1"/>
      <c r="H70" t="s">
        <v>552</v>
      </c>
      <c r="I70" s="1"/>
      <c r="J70" s="1"/>
      <c r="K70" t="s">
        <v>1819</v>
      </c>
      <c r="L70" s="1"/>
      <c r="M70" s="1"/>
      <c r="P70" s="1"/>
      <c r="Q70" s="1"/>
    </row>
    <row r="71" spans="4:17" x14ac:dyDescent="0.25">
      <c r="D71" s="1"/>
      <c r="F71" t="s">
        <v>1238</v>
      </c>
      <c r="G71" s="1"/>
      <c r="H71" t="s">
        <v>580</v>
      </c>
      <c r="I71" s="1"/>
      <c r="J71" s="1"/>
      <c r="K71" t="s">
        <v>1999</v>
      </c>
      <c r="L71" s="1"/>
      <c r="M71" s="1"/>
      <c r="O71" s="1"/>
      <c r="P71" s="1"/>
      <c r="Q71" s="1"/>
    </row>
    <row r="72" spans="4:17" x14ac:dyDescent="0.25">
      <c r="D72" s="1"/>
      <c r="E72" s="1"/>
      <c r="F72" t="s">
        <v>552</v>
      </c>
      <c r="G72" s="1"/>
      <c r="H72" t="s">
        <v>1999</v>
      </c>
      <c r="I72" s="1"/>
      <c r="J72" s="1"/>
      <c r="L72" s="1"/>
      <c r="M72" s="1"/>
      <c r="O72" s="1"/>
      <c r="P72" s="1"/>
      <c r="Q72" s="1"/>
    </row>
    <row r="73" spans="4:17" x14ac:dyDescent="0.25">
      <c r="D73" s="1"/>
      <c r="F73" s="1"/>
      <c r="G73" s="1"/>
      <c r="H73" s="1"/>
      <c r="I73" s="1"/>
      <c r="J73" s="1"/>
      <c r="K73" s="1"/>
      <c r="L73" s="1"/>
      <c r="M73" s="1"/>
      <c r="N73" s="1"/>
      <c r="O73" s="1"/>
      <c r="P73" s="1"/>
      <c r="Q73" s="1"/>
    </row>
    <row r="74" spans="4:17" x14ac:dyDescent="0.25">
      <c r="F74" s="1"/>
      <c r="G74" s="1"/>
      <c r="H74" s="1"/>
      <c r="I74" s="1"/>
      <c r="J74" s="1">
        <v>23</v>
      </c>
      <c r="K74" s="1"/>
      <c r="L74" s="1"/>
      <c r="M74" s="1"/>
      <c r="N74" s="1"/>
      <c r="O74" t="s">
        <v>576</v>
      </c>
      <c r="P74" s="1"/>
      <c r="Q74" s="1"/>
    </row>
    <row r="75" spans="4:17" x14ac:dyDescent="0.25">
      <c r="D75">
        <f>17-4-4-3</f>
        <v>6</v>
      </c>
      <c r="E75" s="1"/>
      <c r="F75" s="1">
        <f>3.5+10+5+3</f>
        <v>21.5</v>
      </c>
      <c r="G75" s="1"/>
      <c r="H75" s="1"/>
      <c r="I75" s="1"/>
      <c r="J75" s="1">
        <v>25</v>
      </c>
      <c r="K75" s="1"/>
      <c r="L75" s="1"/>
      <c r="M75" s="1"/>
      <c r="N75" s="1"/>
      <c r="O75" t="s">
        <v>552</v>
      </c>
      <c r="P75" s="1"/>
      <c r="Q75" s="1"/>
    </row>
    <row r="76" spans="4:17" x14ac:dyDescent="0.25">
      <c r="E76" s="1"/>
      <c r="F76" s="1">
        <f>F75*(1+0.5+1)</f>
        <v>53.75</v>
      </c>
      <c r="G76" s="1"/>
      <c r="H76" s="1"/>
      <c r="I76" s="1"/>
      <c r="J76" s="1">
        <v>32</v>
      </c>
      <c r="K76" s="1"/>
      <c r="L76" s="1"/>
      <c r="M76" s="1"/>
      <c r="N76" s="1"/>
      <c r="O76" t="s">
        <v>1819</v>
      </c>
      <c r="P76" s="1"/>
      <c r="Q76" s="1"/>
    </row>
    <row r="77" spans="4:17" x14ac:dyDescent="0.25">
      <c r="E77" s="1"/>
      <c r="F77" s="1"/>
      <c r="G77" s="1"/>
      <c r="H77" s="1"/>
      <c r="I77" s="1"/>
      <c r="J77" s="1">
        <v>40</v>
      </c>
      <c r="K77" s="1"/>
      <c r="L77" t="s">
        <v>1616</v>
      </c>
      <c r="M77" s="1"/>
      <c r="N77" s="1"/>
      <c r="O77" t="s">
        <v>1999</v>
      </c>
      <c r="P77" s="1"/>
      <c r="Q77" s="1"/>
    </row>
    <row r="78" spans="4:17" x14ac:dyDescent="0.25">
      <c r="D78">
        <f>14-4-4-3-1</f>
        <v>2</v>
      </c>
      <c r="E78" s="1"/>
      <c r="F78" s="1"/>
      <c r="G78" s="1"/>
      <c r="K78" s="1"/>
      <c r="L78" t="s">
        <v>1999</v>
      </c>
      <c r="M78" s="1"/>
      <c r="N78" s="1"/>
      <c r="O78" t="s">
        <v>1616</v>
      </c>
      <c r="P78" s="1"/>
      <c r="Q78" s="1"/>
    </row>
    <row r="79" spans="4:17" x14ac:dyDescent="0.25">
      <c r="E79" s="1"/>
      <c r="F79" s="1"/>
      <c r="G79" s="1"/>
      <c r="H79" t="s">
        <v>870</v>
      </c>
      <c r="I79" s="1">
        <v>-2</v>
      </c>
      <c r="J79" s="1">
        <v>-4</v>
      </c>
      <c r="K79" s="1"/>
      <c r="L79" t="s">
        <v>2004</v>
      </c>
      <c r="M79" s="1"/>
      <c r="N79" s="1"/>
      <c r="O79" t="s">
        <v>577</v>
      </c>
      <c r="P79" s="1"/>
      <c r="Q79" s="1"/>
    </row>
    <row r="80" spans="4:17" x14ac:dyDescent="0.25">
      <c r="E80" s="1"/>
      <c r="F80" s="1"/>
      <c r="G80" s="1"/>
      <c r="H80" t="s">
        <v>966</v>
      </c>
      <c r="I80" s="1">
        <v>-1</v>
      </c>
      <c r="J80" s="1"/>
      <c r="K80" s="1"/>
      <c r="L80" t="s">
        <v>1287</v>
      </c>
      <c r="M80" s="1"/>
      <c r="N80" s="1"/>
      <c r="O80" s="1"/>
      <c r="P80" s="1"/>
      <c r="Q80" s="1"/>
    </row>
    <row r="81" spans="5:17" x14ac:dyDescent="0.25">
      <c r="E81" s="1"/>
      <c r="F81" s="1"/>
      <c r="G81" s="1"/>
      <c r="H81" t="s">
        <v>2003</v>
      </c>
      <c r="I81" s="1">
        <v>-2</v>
      </c>
      <c r="J81" s="1"/>
      <c r="K81" s="1"/>
      <c r="L81" s="1"/>
      <c r="M81" s="1"/>
      <c r="N81" s="1"/>
      <c r="O81" s="1"/>
      <c r="P81" s="1"/>
      <c r="Q81" s="1"/>
    </row>
    <row r="82" spans="5:17" x14ac:dyDescent="0.25">
      <c r="E82" s="1"/>
      <c r="F82" s="1"/>
      <c r="G82" s="1"/>
      <c r="H82" t="s">
        <v>783</v>
      </c>
      <c r="I82" s="1"/>
      <c r="J82" s="1"/>
      <c r="K82" s="1"/>
      <c r="L82" s="1"/>
      <c r="M82" s="1"/>
      <c r="N82" s="1"/>
      <c r="O82" s="1"/>
      <c r="P82" s="1"/>
      <c r="Q82" s="1"/>
    </row>
    <row r="83" spans="5:17" x14ac:dyDescent="0.25">
      <c r="E83" s="1"/>
      <c r="F83" s="1"/>
      <c r="G83" s="1"/>
      <c r="H83" s="1"/>
      <c r="I83" s="1">
        <f>SUM(I79:I82)</f>
        <v>-5</v>
      </c>
      <c r="J83" s="1"/>
      <c r="K83" s="1"/>
      <c r="L83" s="1"/>
      <c r="M83" s="1"/>
      <c r="N83" s="1"/>
      <c r="O83" s="1"/>
      <c r="P83" s="1"/>
      <c r="Q83" s="1"/>
    </row>
    <row r="84" spans="5:17" x14ac:dyDescent="0.25">
      <c r="E84" s="1"/>
      <c r="F84" s="1"/>
      <c r="G84" s="1"/>
      <c r="H84" s="1"/>
      <c r="I84" s="1"/>
      <c r="J84" s="1"/>
      <c r="K84" s="1"/>
      <c r="L84" s="1"/>
      <c r="M84" s="1"/>
      <c r="N84" s="1"/>
      <c r="O84" s="1"/>
      <c r="P84" s="1"/>
      <c r="Q84" s="1"/>
    </row>
    <row r="114" spans="5:22" x14ac:dyDescent="0.25">
      <c r="E114" s="1"/>
      <c r="F114" s="1"/>
      <c r="G114" s="1"/>
      <c r="H114" s="1"/>
      <c r="I114" s="1"/>
      <c r="J114" s="1"/>
      <c r="K114" s="1"/>
      <c r="L114" s="1"/>
      <c r="M114" s="1"/>
      <c r="N114" s="1"/>
      <c r="O114" s="1"/>
      <c r="P114" s="1"/>
      <c r="Q114" s="1"/>
    </row>
    <row r="115" spans="5:22" x14ac:dyDescent="0.25">
      <c r="E115" s="1"/>
      <c r="F115" s="1"/>
      <c r="G115" s="1"/>
      <c r="H115" s="1"/>
      <c r="I115" s="1"/>
      <c r="J115" s="1"/>
      <c r="K115" s="1"/>
      <c r="L115" s="1"/>
      <c r="M115" s="1"/>
      <c r="N115" s="1"/>
      <c r="O115" s="1"/>
      <c r="P115" s="1"/>
      <c r="Q115" s="1"/>
    </row>
    <row r="116" spans="5:22" x14ac:dyDescent="0.25">
      <c r="E116" s="1"/>
      <c r="F116" s="1"/>
      <c r="G116" s="1"/>
      <c r="H116" s="1"/>
      <c r="I116" s="1"/>
      <c r="J116" s="1"/>
      <c r="K116" s="1"/>
      <c r="L116" s="1"/>
      <c r="M116" s="1"/>
      <c r="N116" s="1"/>
      <c r="O116" s="1"/>
      <c r="P116" s="1"/>
      <c r="Q116" s="1"/>
    </row>
    <row r="117" spans="5:22" x14ac:dyDescent="0.25">
      <c r="E117" s="1"/>
      <c r="F117" s="1"/>
      <c r="G117" s="1"/>
      <c r="H117" s="1"/>
      <c r="I117" s="1"/>
      <c r="J117" s="1"/>
      <c r="K117" s="1"/>
      <c r="L117" s="1"/>
      <c r="M117" s="1"/>
      <c r="N117" s="1"/>
      <c r="O117" s="1"/>
      <c r="P117" s="1"/>
    </row>
    <row r="118" spans="5:22" x14ac:dyDescent="0.25">
      <c r="E118" s="1"/>
      <c r="F118" s="1"/>
      <c r="G118" s="1"/>
      <c r="H118" s="1"/>
      <c r="I118" s="1"/>
      <c r="J118" s="1"/>
      <c r="K118" s="1"/>
      <c r="L118" s="1"/>
      <c r="M118" s="1"/>
      <c r="N118" s="1"/>
      <c r="O118" s="1"/>
      <c r="P118" s="1"/>
      <c r="Q118" s="1"/>
    </row>
    <row r="119" spans="5:22" x14ac:dyDescent="0.25">
      <c r="J119" s="3"/>
    </row>
    <row r="120" spans="5:22" x14ac:dyDescent="0.25">
      <c r="J120" s="3"/>
    </row>
    <row r="121" spans="5:22" x14ac:dyDescent="0.25">
      <c r="J121" s="3"/>
    </row>
    <row r="123" spans="5:22" x14ac:dyDescent="0.25">
      <c r="J123" s="3"/>
    </row>
    <row r="124" spans="5:22" x14ac:dyDescent="0.25">
      <c r="V124" t="s">
        <v>2121</v>
      </c>
    </row>
    <row r="125" spans="5:22" x14ac:dyDescent="0.25">
      <c r="V125" t="s">
        <v>1989</v>
      </c>
    </row>
    <row r="126" spans="5:22" x14ac:dyDescent="0.25">
      <c r="I126" s="3"/>
      <c r="V126" t="s">
        <v>2122</v>
      </c>
    </row>
    <row r="127" spans="5:22" x14ac:dyDescent="0.25">
      <c r="I127" s="3"/>
      <c r="V127" t="s">
        <v>2124</v>
      </c>
    </row>
    <row r="128" spans="5:22" x14ac:dyDescent="0.25">
      <c r="V128" t="s">
        <v>2123</v>
      </c>
    </row>
    <row r="129" spans="6:23" x14ac:dyDescent="0.25">
      <c r="V129" t="s">
        <v>2125</v>
      </c>
    </row>
    <row r="130" spans="6:23" x14ac:dyDescent="0.25">
      <c r="V130" t="s">
        <v>2127</v>
      </c>
    </row>
    <row r="131" spans="6:23" x14ac:dyDescent="0.25">
      <c r="V131" t="s">
        <v>2126</v>
      </c>
    </row>
    <row r="132" spans="6:23" x14ac:dyDescent="0.25">
      <c r="V132" t="s">
        <v>2128</v>
      </c>
    </row>
    <row r="137" spans="6:23" x14ac:dyDescent="0.25">
      <c r="F137" s="3"/>
      <c r="W137" t="s">
        <v>2129</v>
      </c>
    </row>
    <row r="139" spans="6:23" x14ac:dyDescent="0.25">
      <c r="W139" t="s">
        <v>2130</v>
      </c>
    </row>
    <row r="161" spans="7:7" x14ac:dyDescent="0.25">
      <c r="G161" s="3"/>
    </row>
    <row r="162" spans="7:7" x14ac:dyDescent="0.25">
      <c r="G162" s="3"/>
    </row>
    <row r="163" spans="7:7" x14ac:dyDescent="0.25">
      <c r="G163" s="3"/>
    </row>
    <row r="166" spans="7:7" x14ac:dyDescent="0.25">
      <c r="G166" s="3"/>
    </row>
    <row r="186" spans="2:2" x14ac:dyDescent="0.25">
      <c r="B186" s="4"/>
    </row>
    <row r="192" spans="2:2" x14ac:dyDescent="0.25">
      <c r="B192" s="4"/>
    </row>
    <row r="198" spans="2:5" x14ac:dyDescent="0.25">
      <c r="B198" s="4"/>
    </row>
    <row r="205" spans="2:5" x14ac:dyDescent="0.25">
      <c r="E205" s="4"/>
    </row>
  </sheetData>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P98"/>
  <sheetViews>
    <sheetView topLeftCell="A85" workbookViewId="0">
      <selection activeCell="D54" sqref="D54"/>
    </sheetView>
  </sheetViews>
  <sheetFormatPr defaultRowHeight="15" x14ac:dyDescent="0.25"/>
  <cols>
    <col min="2" max="2" width="14.85546875" customWidth="1"/>
    <col min="3" max="3" width="18.42578125" customWidth="1"/>
    <col min="4" max="4" width="30.140625" customWidth="1"/>
    <col min="5" max="5" width="17.5703125" customWidth="1"/>
    <col min="6" max="6" width="17.85546875" customWidth="1"/>
    <col min="7" max="7" width="14.140625" customWidth="1"/>
    <col min="8" max="8" width="18.28515625" customWidth="1"/>
  </cols>
  <sheetData>
    <row r="1" spans="2:10" x14ac:dyDescent="0.25">
      <c r="B1" t="s">
        <v>1226</v>
      </c>
    </row>
    <row r="2" spans="2:10" x14ac:dyDescent="0.25">
      <c r="H2" t="s">
        <v>2047</v>
      </c>
    </row>
    <row r="3" spans="2:10" x14ac:dyDescent="0.25">
      <c r="B3" t="s">
        <v>836</v>
      </c>
      <c r="E3" t="s">
        <v>836</v>
      </c>
      <c r="H3" t="s">
        <v>2048</v>
      </c>
    </row>
    <row r="4" spans="2:10" x14ac:dyDescent="0.25">
      <c r="B4" t="s">
        <v>2005</v>
      </c>
      <c r="C4" t="s">
        <v>874</v>
      </c>
      <c r="D4" t="s">
        <v>1934</v>
      </c>
      <c r="H4" t="s">
        <v>2002</v>
      </c>
    </row>
    <row r="5" spans="2:10" x14ac:dyDescent="0.25">
      <c r="B5" t="s">
        <v>2006</v>
      </c>
      <c r="C5" t="s">
        <v>2023</v>
      </c>
      <c r="D5" t="s">
        <v>943</v>
      </c>
      <c r="H5" t="s">
        <v>1616</v>
      </c>
    </row>
    <row r="6" spans="2:10" x14ac:dyDescent="0.25">
      <c r="B6" t="s">
        <v>2033</v>
      </c>
      <c r="C6" t="s">
        <v>1912</v>
      </c>
      <c r="D6" t="s">
        <v>2034</v>
      </c>
      <c r="H6" t="s">
        <v>1617</v>
      </c>
    </row>
    <row r="7" spans="2:10" x14ac:dyDescent="0.25">
      <c r="B7" t="s">
        <v>2007</v>
      </c>
      <c r="C7" t="s">
        <v>2016</v>
      </c>
      <c r="D7" t="s">
        <v>957</v>
      </c>
      <c r="E7" t="s">
        <v>2030</v>
      </c>
      <c r="F7" t="s">
        <v>1921</v>
      </c>
      <c r="H7" t="s">
        <v>2049</v>
      </c>
    </row>
    <row r="8" spans="2:10" x14ac:dyDescent="0.25">
      <c r="B8" t="s">
        <v>1229</v>
      </c>
      <c r="C8" t="s">
        <v>923</v>
      </c>
      <c r="D8" t="s">
        <v>897</v>
      </c>
      <c r="E8" t="s">
        <v>970</v>
      </c>
      <c r="F8" t="s">
        <v>1436</v>
      </c>
      <c r="G8" t="s">
        <v>1435</v>
      </c>
    </row>
    <row r="9" spans="2:10" x14ac:dyDescent="0.25">
      <c r="B9" t="s">
        <v>2044</v>
      </c>
      <c r="C9" t="s">
        <v>1924</v>
      </c>
    </row>
    <row r="10" spans="2:10" x14ac:dyDescent="0.25">
      <c r="B10" t="s">
        <v>2008</v>
      </c>
      <c r="C10" t="s">
        <v>926</v>
      </c>
      <c r="D10" t="s">
        <v>832</v>
      </c>
      <c r="E10" t="s">
        <v>1996</v>
      </c>
      <c r="F10" t="s">
        <v>2017</v>
      </c>
      <c r="G10" t="s">
        <v>900</v>
      </c>
      <c r="J10">
        <f>6/20</f>
        <v>0.3</v>
      </c>
    </row>
    <row r="11" spans="2:10" x14ac:dyDescent="0.25">
      <c r="B11" t="s">
        <v>2009</v>
      </c>
      <c r="C11" t="s">
        <v>878</v>
      </c>
      <c r="D11" t="s">
        <v>924</v>
      </c>
      <c r="E11" t="s">
        <v>2039</v>
      </c>
      <c r="F11" t="s">
        <v>2041</v>
      </c>
      <c r="J11">
        <f>0.7^2</f>
        <v>0.48999999999999994</v>
      </c>
    </row>
    <row r="12" spans="2:10" x14ac:dyDescent="0.25">
      <c r="B12" t="s">
        <v>1902</v>
      </c>
    </row>
    <row r="13" spans="2:10" x14ac:dyDescent="0.25">
      <c r="B13" t="s">
        <v>2010</v>
      </c>
    </row>
    <row r="14" spans="2:10" x14ac:dyDescent="0.25">
      <c r="B14" t="s">
        <v>843</v>
      </c>
      <c r="C14" t="s">
        <v>843</v>
      </c>
    </row>
    <row r="15" spans="2:10" x14ac:dyDescent="0.25">
      <c r="B15" t="s">
        <v>936</v>
      </c>
      <c r="G15">
        <f>19*3.5</f>
        <v>66.5</v>
      </c>
    </row>
    <row r="16" spans="2:10" x14ac:dyDescent="0.25">
      <c r="B16" t="s">
        <v>851</v>
      </c>
      <c r="C16" t="s">
        <v>2042</v>
      </c>
      <c r="D16" t="s">
        <v>2043</v>
      </c>
    </row>
    <row r="17" spans="2:12" x14ac:dyDescent="0.25">
      <c r="B17" t="s">
        <v>2011</v>
      </c>
      <c r="C17" t="s">
        <v>2017</v>
      </c>
      <c r="D17" t="s">
        <v>900</v>
      </c>
      <c r="E17" t="s">
        <v>1522</v>
      </c>
      <c r="F17" t="s">
        <v>916</v>
      </c>
    </row>
    <row r="18" spans="2:12" x14ac:dyDescent="0.25">
      <c r="B18" t="s">
        <v>2012</v>
      </c>
      <c r="C18" t="s">
        <v>1228</v>
      </c>
      <c r="D18" t="s">
        <v>869</v>
      </c>
      <c r="E18" t="s">
        <v>901</v>
      </c>
      <c r="F18" t="s">
        <v>924</v>
      </c>
      <c r="G18" t="s">
        <v>838</v>
      </c>
      <c r="H18" t="s">
        <v>2029</v>
      </c>
      <c r="I18" t="s">
        <v>2035</v>
      </c>
    </row>
    <row r="19" spans="2:12" x14ac:dyDescent="0.25">
      <c r="B19" t="s">
        <v>2018</v>
      </c>
      <c r="C19" t="s">
        <v>2019</v>
      </c>
      <c r="D19" t="s">
        <v>2020</v>
      </c>
    </row>
    <row r="20" spans="2:12" x14ac:dyDescent="0.25">
      <c r="B20" t="s">
        <v>2014</v>
      </c>
      <c r="C20" t="s">
        <v>953</v>
      </c>
      <c r="D20" t="s">
        <v>973</v>
      </c>
      <c r="E20" t="s">
        <v>1929</v>
      </c>
    </row>
    <row r="21" spans="2:12" x14ac:dyDescent="0.25">
      <c r="B21" t="s">
        <v>2040</v>
      </c>
      <c r="C21" t="s">
        <v>1031</v>
      </c>
    </row>
    <row r="22" spans="2:12" x14ac:dyDescent="0.25">
      <c r="B22" t="s">
        <v>2015</v>
      </c>
    </row>
    <row r="23" spans="2:12" x14ac:dyDescent="0.25">
      <c r="B23" t="s">
        <v>1155</v>
      </c>
      <c r="C23" t="s">
        <v>2036</v>
      </c>
    </row>
    <row r="24" spans="2:12" x14ac:dyDescent="0.25">
      <c r="B24" t="s">
        <v>1543</v>
      </c>
      <c r="C24" t="s">
        <v>2021</v>
      </c>
      <c r="D24" t="s">
        <v>2013</v>
      </c>
      <c r="E24" t="s">
        <v>1929</v>
      </c>
      <c r="F24" t="s">
        <v>2022</v>
      </c>
      <c r="H24" t="s">
        <v>2029</v>
      </c>
      <c r="I24" t="s">
        <v>2032</v>
      </c>
      <c r="J24" t="s">
        <v>2035</v>
      </c>
      <c r="K24" t="s">
        <v>2039</v>
      </c>
      <c r="L24" t="s">
        <v>2045</v>
      </c>
    </row>
    <row r="25" spans="2:12" x14ac:dyDescent="0.25">
      <c r="B25" t="s">
        <v>2024</v>
      </c>
      <c r="C25" t="s">
        <v>1062</v>
      </c>
    </row>
    <row r="26" spans="2:12" x14ac:dyDescent="0.25">
      <c r="B26" t="s">
        <v>2025</v>
      </c>
      <c r="C26" t="s">
        <v>2026</v>
      </c>
      <c r="D26" t="s">
        <v>1789</v>
      </c>
      <c r="E26" t="s">
        <v>1949</v>
      </c>
      <c r="F26" t="s">
        <v>2027</v>
      </c>
    </row>
    <row r="27" spans="2:12" x14ac:dyDescent="0.25">
      <c r="B27" t="s">
        <v>2028</v>
      </c>
      <c r="C27" t="s">
        <v>1062</v>
      </c>
      <c r="D27" t="s">
        <v>909</v>
      </c>
      <c r="E27" t="s">
        <v>1916</v>
      </c>
      <c r="F27" t="s">
        <v>2031</v>
      </c>
      <c r="G27" t="s">
        <v>2037</v>
      </c>
      <c r="H27" t="s">
        <v>2046</v>
      </c>
    </row>
    <row r="28" spans="2:12" x14ac:dyDescent="0.25">
      <c r="B28" t="s">
        <v>1234</v>
      </c>
      <c r="G28" t="s">
        <v>2037</v>
      </c>
    </row>
    <row r="29" spans="2:12" x14ac:dyDescent="0.25">
      <c r="B29" t="s">
        <v>746</v>
      </c>
      <c r="C29" t="s">
        <v>1614</v>
      </c>
      <c r="D29" t="s">
        <v>2038</v>
      </c>
    </row>
    <row r="34" spans="2:10" x14ac:dyDescent="0.25">
      <c r="B34" t="s">
        <v>2236</v>
      </c>
      <c r="C34" t="s">
        <v>2237</v>
      </c>
      <c r="D34" t="s">
        <v>2238</v>
      </c>
      <c r="E34" t="s">
        <v>232</v>
      </c>
      <c r="F34" t="s">
        <v>2239</v>
      </c>
      <c r="G34" t="s">
        <v>2240</v>
      </c>
      <c r="H34" t="s">
        <v>2241</v>
      </c>
    </row>
    <row r="35" spans="2:10" x14ac:dyDescent="0.25">
      <c r="C35" t="s">
        <v>924</v>
      </c>
      <c r="D35" t="s">
        <v>921</v>
      </c>
      <c r="E35" t="s">
        <v>923</v>
      </c>
      <c r="F35" t="s">
        <v>832</v>
      </c>
      <c r="G35" t="s">
        <v>926</v>
      </c>
      <c r="H35" s="7" t="s">
        <v>2242</v>
      </c>
    </row>
    <row r="36" spans="2:10" x14ac:dyDescent="0.25">
      <c r="C36" s="7" t="s">
        <v>2245</v>
      </c>
      <c r="D36" t="s">
        <v>838</v>
      </c>
      <c r="E36" s="7" t="s">
        <v>2244</v>
      </c>
      <c r="F36" t="s">
        <v>1910</v>
      </c>
      <c r="G36" t="s">
        <v>1473</v>
      </c>
      <c r="H36" s="7" t="s">
        <v>2243</v>
      </c>
    </row>
    <row r="37" spans="2:10" x14ac:dyDescent="0.25">
      <c r="C37" s="7" t="s">
        <v>2246</v>
      </c>
      <c r="D37" t="s">
        <v>836</v>
      </c>
      <c r="E37" s="7" t="s">
        <v>2265</v>
      </c>
      <c r="G37" t="s">
        <v>839</v>
      </c>
      <c r="H37" t="s">
        <v>843</v>
      </c>
    </row>
    <row r="38" spans="2:10" x14ac:dyDescent="0.25">
      <c r="C38" t="s">
        <v>929</v>
      </c>
      <c r="D38" s="7" t="s">
        <v>2247</v>
      </c>
      <c r="E38" t="s">
        <v>874</v>
      </c>
      <c r="G38" t="s">
        <v>1912</v>
      </c>
      <c r="H38" s="7" t="s">
        <v>2248</v>
      </c>
    </row>
    <row r="39" spans="2:10" x14ac:dyDescent="0.25">
      <c r="C39" t="s">
        <v>933</v>
      </c>
      <c r="D39" t="s">
        <v>930</v>
      </c>
      <c r="E39" t="s">
        <v>1435</v>
      </c>
      <c r="G39" t="s">
        <v>1916</v>
      </c>
      <c r="H39" t="s">
        <v>937</v>
      </c>
    </row>
    <row r="40" spans="2:10" x14ac:dyDescent="0.25">
      <c r="C40" t="s">
        <v>940</v>
      </c>
      <c r="D40" t="s">
        <v>840</v>
      </c>
      <c r="E40" t="s">
        <v>936</v>
      </c>
      <c r="G40" t="s">
        <v>953</v>
      </c>
      <c r="H40" t="s">
        <v>1031</v>
      </c>
    </row>
    <row r="41" spans="2:10" x14ac:dyDescent="0.25">
      <c r="C41" t="s">
        <v>2253</v>
      </c>
      <c r="D41" s="6" t="s">
        <v>2249</v>
      </c>
      <c r="E41" t="s">
        <v>846</v>
      </c>
      <c r="G41" t="s">
        <v>1924</v>
      </c>
      <c r="H41" t="s">
        <v>1895</v>
      </c>
    </row>
    <row r="42" spans="2:10" x14ac:dyDescent="0.25">
      <c r="C42" t="s">
        <v>957</v>
      </c>
      <c r="D42" t="s">
        <v>941</v>
      </c>
      <c r="E42" t="s">
        <v>1436</v>
      </c>
      <c r="G42" t="s">
        <v>2227</v>
      </c>
      <c r="H42" t="s">
        <v>951</v>
      </c>
    </row>
    <row r="43" spans="2:10" x14ac:dyDescent="0.25">
      <c r="C43" t="s">
        <v>2022</v>
      </c>
      <c r="D43" t="s">
        <v>849</v>
      </c>
      <c r="E43" t="s">
        <v>943</v>
      </c>
      <c r="G43" t="s">
        <v>2260</v>
      </c>
      <c r="H43" s="7" t="s">
        <v>2251</v>
      </c>
    </row>
    <row r="44" spans="2:10" x14ac:dyDescent="0.25">
      <c r="C44" s="7" t="s">
        <v>2261</v>
      </c>
      <c r="D44" t="s">
        <v>1786</v>
      </c>
      <c r="E44" t="s">
        <v>942</v>
      </c>
    </row>
    <row r="45" spans="2:10" x14ac:dyDescent="0.25">
      <c r="C45" s="6" t="s">
        <v>2262</v>
      </c>
      <c r="D45" t="s">
        <v>2252</v>
      </c>
      <c r="E45" t="s">
        <v>851</v>
      </c>
      <c r="G45">
        <f>35*3.5*3</f>
        <v>367.5</v>
      </c>
      <c r="J45">
        <f>7/20</f>
        <v>0.35</v>
      </c>
    </row>
    <row r="46" spans="2:10" x14ac:dyDescent="0.25">
      <c r="D46" s="6" t="s">
        <v>949</v>
      </c>
      <c r="E46" s="7" t="s">
        <v>2250</v>
      </c>
      <c r="G46">
        <f>G45-80</f>
        <v>287.5</v>
      </c>
      <c r="J46">
        <f>0.65^(0.2*10)</f>
        <v>0.42250000000000004</v>
      </c>
    </row>
    <row r="47" spans="2:10" x14ac:dyDescent="0.25">
      <c r="D47" t="s">
        <v>954</v>
      </c>
      <c r="E47" s="7" t="s">
        <v>2257</v>
      </c>
      <c r="G47">
        <f>G46/3</f>
        <v>95.833333333333329</v>
      </c>
    </row>
    <row r="48" spans="2:10" x14ac:dyDescent="0.25">
      <c r="D48" s="7" t="s">
        <v>2254</v>
      </c>
    </row>
    <row r="49" spans="3:8" x14ac:dyDescent="0.25">
      <c r="D49" s="6" t="s">
        <v>2255</v>
      </c>
    </row>
    <row r="50" spans="3:8" x14ac:dyDescent="0.25">
      <c r="D50" s="7" t="s">
        <v>2256</v>
      </c>
    </row>
    <row r="51" spans="3:8" x14ac:dyDescent="0.25">
      <c r="D51" s="7" t="s">
        <v>2258</v>
      </c>
    </row>
    <row r="52" spans="3:8" x14ac:dyDescent="0.25">
      <c r="D52" s="6" t="s">
        <v>2259</v>
      </c>
    </row>
    <row r="53" spans="3:8" x14ac:dyDescent="0.25">
      <c r="D53" s="7" t="s">
        <v>2263</v>
      </c>
    </row>
    <row r="54" spans="3:8" x14ac:dyDescent="0.25">
      <c r="D54" s="6" t="s">
        <v>2264</v>
      </c>
    </row>
    <row r="57" spans="3:8" x14ac:dyDescent="0.25">
      <c r="C57" t="s">
        <v>2607</v>
      </c>
      <c r="D57" t="s">
        <v>2609</v>
      </c>
      <c r="E57" t="s">
        <v>2610</v>
      </c>
      <c r="F57" t="s">
        <v>2611</v>
      </c>
      <c r="G57" t="s">
        <v>1814</v>
      </c>
      <c r="H57" t="s">
        <v>2608</v>
      </c>
    </row>
    <row r="58" spans="3:8" x14ac:dyDescent="0.25">
      <c r="C58" s="7" t="s">
        <v>2271</v>
      </c>
      <c r="D58" t="s">
        <v>1996</v>
      </c>
      <c r="E58" s="6" t="s">
        <v>2270</v>
      </c>
      <c r="F58" t="s">
        <v>869</v>
      </c>
      <c r="G58" s="7" t="s">
        <v>2272</v>
      </c>
      <c r="H58" s="7" t="s">
        <v>2268</v>
      </c>
    </row>
    <row r="59" spans="3:8" x14ac:dyDescent="0.25">
      <c r="C59" s="7" t="s">
        <v>2275</v>
      </c>
      <c r="D59" t="s">
        <v>4057</v>
      </c>
      <c r="E59" s="6" t="s">
        <v>2276</v>
      </c>
      <c r="F59" t="s">
        <v>874</v>
      </c>
      <c r="G59" t="s">
        <v>881</v>
      </c>
      <c r="H59" s="7" t="s">
        <v>2269</v>
      </c>
    </row>
    <row r="60" spans="3:8" x14ac:dyDescent="0.25">
      <c r="D60" t="s">
        <v>957</v>
      </c>
      <c r="E60" t="s">
        <v>975</v>
      </c>
      <c r="F60" t="s">
        <v>1522</v>
      </c>
      <c r="G60" t="s">
        <v>2273</v>
      </c>
      <c r="H60" t="s">
        <v>2279</v>
      </c>
    </row>
    <row r="61" spans="3:8" x14ac:dyDescent="0.25">
      <c r="D61" t="s">
        <v>2022</v>
      </c>
      <c r="E61" t="s">
        <v>984</v>
      </c>
      <c r="F61" t="s">
        <v>1995</v>
      </c>
      <c r="G61" t="s">
        <v>1902</v>
      </c>
      <c r="H61" t="s">
        <v>1934</v>
      </c>
    </row>
    <row r="62" spans="3:8" x14ac:dyDescent="0.25">
      <c r="E62" s="7" t="s">
        <v>2277</v>
      </c>
      <c r="F62" t="s">
        <v>970</v>
      </c>
      <c r="G62" t="s">
        <v>953</v>
      </c>
    </row>
    <row r="63" spans="3:8" x14ac:dyDescent="0.25">
      <c r="E63" t="s">
        <v>917</v>
      </c>
      <c r="F63" s="6" t="s">
        <v>2274</v>
      </c>
    </row>
    <row r="64" spans="3:8" x14ac:dyDescent="0.25">
      <c r="E64" t="s">
        <v>2278</v>
      </c>
      <c r="F64" t="s">
        <v>901</v>
      </c>
    </row>
    <row r="65" spans="1:13" x14ac:dyDescent="0.25">
      <c r="F65" t="s">
        <v>4058</v>
      </c>
    </row>
    <row r="68" spans="1:13" x14ac:dyDescent="0.25">
      <c r="C68">
        <v>11.5</v>
      </c>
    </row>
    <row r="69" spans="1:13" x14ac:dyDescent="0.25">
      <c r="E69">
        <f>C68*12</f>
        <v>138</v>
      </c>
      <c r="H69">
        <f>1+1+1</f>
        <v>3</v>
      </c>
    </row>
    <row r="71" spans="1:13" x14ac:dyDescent="0.25">
      <c r="B71" t="s">
        <v>2298</v>
      </c>
      <c r="C71" t="s">
        <v>1031</v>
      </c>
      <c r="D71" t="s">
        <v>832</v>
      </c>
      <c r="E71" t="s">
        <v>957</v>
      </c>
      <c r="F71" t="s">
        <v>851</v>
      </c>
    </row>
    <row r="72" spans="1:13" x14ac:dyDescent="0.25">
      <c r="C72">
        <v>-4</v>
      </c>
      <c r="D72">
        <v>-6</v>
      </c>
      <c r="E72">
        <v>-4</v>
      </c>
      <c r="F72">
        <v>-4</v>
      </c>
      <c r="G72" t="s">
        <v>800</v>
      </c>
    </row>
    <row r="73" spans="1:13" x14ac:dyDescent="0.25">
      <c r="A73">
        <v>-1</v>
      </c>
      <c r="B73">
        <v>-1</v>
      </c>
      <c r="C73">
        <v>-1</v>
      </c>
      <c r="D73">
        <v>-1</v>
      </c>
      <c r="E73">
        <v>-1</v>
      </c>
      <c r="F73">
        <v>-1</v>
      </c>
      <c r="G73" t="s">
        <v>966</v>
      </c>
    </row>
    <row r="74" spans="1:13" x14ac:dyDescent="0.25">
      <c r="D74">
        <v>-2</v>
      </c>
      <c r="E74">
        <v>-2</v>
      </c>
      <c r="F74">
        <v>-2</v>
      </c>
      <c r="G74" t="s">
        <v>870</v>
      </c>
    </row>
    <row r="75" spans="1:13" x14ac:dyDescent="0.25">
      <c r="A75">
        <v>-2</v>
      </c>
      <c r="B75">
        <v>-2</v>
      </c>
      <c r="C75">
        <v>-2</v>
      </c>
      <c r="D75">
        <v>-2</v>
      </c>
      <c r="E75">
        <v>-2</v>
      </c>
      <c r="F75">
        <v>-2</v>
      </c>
      <c r="G75" t="s">
        <v>2266</v>
      </c>
    </row>
    <row r="76" spans="1:13" x14ac:dyDescent="0.25">
      <c r="C76">
        <v>-2</v>
      </c>
      <c r="D76">
        <v>-2</v>
      </c>
      <c r="E76">
        <v>-2</v>
      </c>
      <c r="F76">
        <v>-2</v>
      </c>
      <c r="G76" t="s">
        <v>2267</v>
      </c>
      <c r="J76" t="s">
        <v>1675</v>
      </c>
      <c r="K76" t="s">
        <v>1106</v>
      </c>
      <c r="M76" t="s">
        <v>1565</v>
      </c>
    </row>
    <row r="77" spans="1:13" x14ac:dyDescent="0.25">
      <c r="G77" t="s">
        <v>783</v>
      </c>
      <c r="I77" t="s">
        <v>212</v>
      </c>
      <c r="J77">
        <v>1</v>
      </c>
      <c r="K77">
        <v>1</v>
      </c>
      <c r="L77">
        <v>1</v>
      </c>
      <c r="M77">
        <v>1</v>
      </c>
    </row>
    <row r="78" spans="1:13" x14ac:dyDescent="0.25">
      <c r="A78">
        <v>-2</v>
      </c>
      <c r="B78">
        <v>-2</v>
      </c>
      <c r="F78">
        <v>-2</v>
      </c>
      <c r="G78" t="s">
        <v>2297</v>
      </c>
      <c r="I78" t="s">
        <v>998</v>
      </c>
      <c r="J78">
        <v>0.5</v>
      </c>
      <c r="K78">
        <v>0.5</v>
      </c>
      <c r="L78">
        <v>0.5</v>
      </c>
      <c r="M78">
        <v>0.5</v>
      </c>
    </row>
    <row r="79" spans="1:13" x14ac:dyDescent="0.25">
      <c r="A79">
        <v>-2</v>
      </c>
      <c r="B79">
        <v>-2</v>
      </c>
      <c r="D79">
        <v>-2</v>
      </c>
      <c r="F79">
        <v>-2</v>
      </c>
      <c r="G79" t="s">
        <v>2296</v>
      </c>
      <c r="I79">
        <v>7</v>
      </c>
      <c r="J79">
        <v>0.5</v>
      </c>
      <c r="L79">
        <v>0.5</v>
      </c>
    </row>
    <row r="80" spans="1:13" x14ac:dyDescent="0.25">
      <c r="G80" t="s">
        <v>2298</v>
      </c>
      <c r="I80">
        <v>13</v>
      </c>
      <c r="J80">
        <v>0.5</v>
      </c>
      <c r="L80">
        <v>0.5</v>
      </c>
    </row>
    <row r="81" spans="1:16" x14ac:dyDescent="0.25">
      <c r="I81" t="s">
        <v>2267</v>
      </c>
      <c r="J81">
        <v>0.5</v>
      </c>
      <c r="L81">
        <v>0.5</v>
      </c>
    </row>
    <row r="82" spans="1:16" x14ac:dyDescent="0.25">
      <c r="I82" t="s">
        <v>845</v>
      </c>
      <c r="L82">
        <v>0.5</v>
      </c>
    </row>
    <row r="83" spans="1:16" x14ac:dyDescent="0.25">
      <c r="A83">
        <f t="shared" ref="A83:F83" si="0">SUM(A72:A82)</f>
        <v>-7</v>
      </c>
      <c r="B83">
        <f t="shared" si="0"/>
        <v>-7</v>
      </c>
      <c r="C83">
        <f t="shared" si="0"/>
        <v>-9</v>
      </c>
      <c r="D83">
        <f t="shared" si="0"/>
        <v>-15</v>
      </c>
      <c r="E83">
        <f t="shared" si="0"/>
        <v>-11</v>
      </c>
      <c r="F83">
        <f t="shared" si="0"/>
        <v>-15</v>
      </c>
      <c r="H83">
        <f>1+1+1</f>
        <v>3</v>
      </c>
      <c r="I83" t="s">
        <v>841</v>
      </c>
      <c r="J83">
        <v>1</v>
      </c>
      <c r="K83">
        <v>1</v>
      </c>
      <c r="L83">
        <v>1</v>
      </c>
      <c r="M83">
        <v>1</v>
      </c>
      <c r="P83">
        <v>632</v>
      </c>
    </row>
    <row r="84" spans="1:16" x14ac:dyDescent="0.25">
      <c r="I84" t="s">
        <v>2308</v>
      </c>
      <c r="K84">
        <v>1</v>
      </c>
      <c r="L84">
        <v>1</v>
      </c>
      <c r="M84">
        <v>1</v>
      </c>
    </row>
    <row r="85" spans="1:16" x14ac:dyDescent="0.25">
      <c r="J85">
        <f>SUM(J77:J84)</f>
        <v>4</v>
      </c>
      <c r="K85">
        <f>SUM(K77:K84)</f>
        <v>3.5</v>
      </c>
      <c r="L85">
        <f>SUM(L77:L84)</f>
        <v>5.5</v>
      </c>
      <c r="M85">
        <f>SUM(M77:M84)</f>
        <v>3.5</v>
      </c>
    </row>
    <row r="86" spans="1:16" x14ac:dyDescent="0.25">
      <c r="D86">
        <f>5*4</f>
        <v>20</v>
      </c>
    </row>
    <row r="87" spans="1:16" x14ac:dyDescent="0.25">
      <c r="B87">
        <v>1</v>
      </c>
      <c r="C87" t="s">
        <v>1469</v>
      </c>
      <c r="E87" t="s">
        <v>1182</v>
      </c>
      <c r="F87" t="s">
        <v>2309</v>
      </c>
      <c r="H87" t="s">
        <v>2312</v>
      </c>
      <c r="J87" t="s">
        <v>2313</v>
      </c>
    </row>
    <row r="88" spans="1:16" x14ac:dyDescent="0.25">
      <c r="B88">
        <v>2</v>
      </c>
      <c r="C88" t="s">
        <v>1469</v>
      </c>
      <c r="E88" t="s">
        <v>1182</v>
      </c>
      <c r="F88" t="s">
        <v>1208</v>
      </c>
      <c r="H88" t="s">
        <v>2300</v>
      </c>
      <c r="J88" t="s">
        <v>2301</v>
      </c>
    </row>
    <row r="89" spans="1:16" x14ac:dyDescent="0.25">
      <c r="B89">
        <v>3</v>
      </c>
      <c r="C89" t="s">
        <v>2302</v>
      </c>
      <c r="E89" t="s">
        <v>1847</v>
      </c>
      <c r="F89" t="s">
        <v>2311</v>
      </c>
      <c r="H89" t="s">
        <v>1149</v>
      </c>
    </row>
    <row r="90" spans="1:16" x14ac:dyDescent="0.25">
      <c r="B90">
        <v>4</v>
      </c>
      <c r="C90" t="s">
        <v>2300</v>
      </c>
      <c r="E90" t="s">
        <v>1183</v>
      </c>
      <c r="F90" t="s">
        <v>2310</v>
      </c>
      <c r="H90" t="s">
        <v>1470</v>
      </c>
    </row>
    <row r="91" spans="1:16" x14ac:dyDescent="0.25">
      <c r="B91">
        <v>5</v>
      </c>
      <c r="C91" t="s">
        <v>2314</v>
      </c>
      <c r="E91" t="s">
        <v>1183</v>
      </c>
      <c r="F91" t="s">
        <v>2307</v>
      </c>
      <c r="H91" t="s">
        <v>2230</v>
      </c>
    </row>
    <row r="92" spans="1:16" x14ac:dyDescent="0.25">
      <c r="B92">
        <v>6</v>
      </c>
      <c r="C92" t="s">
        <v>1982</v>
      </c>
      <c r="E92" t="s">
        <v>1183</v>
      </c>
      <c r="F92" t="s">
        <v>2280</v>
      </c>
      <c r="H92" t="s">
        <v>1470</v>
      </c>
      <c r="I92">
        <f>50+20+10+10</f>
        <v>90</v>
      </c>
    </row>
    <row r="93" spans="1:16" x14ac:dyDescent="0.25">
      <c r="B93">
        <v>7</v>
      </c>
      <c r="C93" t="s">
        <v>1982</v>
      </c>
      <c r="I93">
        <f>50+10+10</f>
        <v>70</v>
      </c>
    </row>
    <row r="94" spans="1:16" x14ac:dyDescent="0.25">
      <c r="B94">
        <v>8</v>
      </c>
      <c r="C94" t="s">
        <v>1982</v>
      </c>
    </row>
    <row r="95" spans="1:16" x14ac:dyDescent="0.25">
      <c r="B95">
        <v>9</v>
      </c>
      <c r="C95" t="s">
        <v>2231</v>
      </c>
    </row>
    <row r="96" spans="1:16" x14ac:dyDescent="0.25">
      <c r="B96">
        <v>10</v>
      </c>
      <c r="C96" t="s">
        <v>2231</v>
      </c>
    </row>
    <row r="97" spans="2:3" x14ac:dyDescent="0.25">
      <c r="B97">
        <v>11</v>
      </c>
      <c r="C97" t="s">
        <v>2231</v>
      </c>
    </row>
    <row r="98" spans="2:3" x14ac:dyDescent="0.25">
      <c r="B98">
        <v>12</v>
      </c>
      <c r="C98" t="s">
        <v>2231</v>
      </c>
    </row>
  </sheetData>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AA181"/>
  <sheetViews>
    <sheetView workbookViewId="0">
      <selection activeCell="B5" sqref="B5"/>
    </sheetView>
  </sheetViews>
  <sheetFormatPr defaultRowHeight="15" x14ac:dyDescent="0.25"/>
  <cols>
    <col min="1" max="1" width="12.5703125" customWidth="1"/>
    <col min="3" max="3" width="9.140625" customWidth="1"/>
    <col min="5" max="5" width="10.85546875" customWidth="1"/>
    <col min="7" max="7" width="12.140625" customWidth="1"/>
    <col min="11" max="11" width="10" customWidth="1"/>
  </cols>
  <sheetData>
    <row r="1" spans="1:23" x14ac:dyDescent="0.25">
      <c r="A1" s="9"/>
      <c r="I1" s="9" t="s">
        <v>1078</v>
      </c>
      <c r="J1" s="9" t="s">
        <v>1801</v>
      </c>
      <c r="K1" s="9" t="s">
        <v>1598</v>
      </c>
      <c r="L1" s="9" t="s">
        <v>617</v>
      </c>
      <c r="M1" s="9" t="s">
        <v>618</v>
      </c>
      <c r="N1" s="9" t="s">
        <v>619</v>
      </c>
      <c r="O1" s="9" t="s">
        <v>1807</v>
      </c>
      <c r="P1" s="9" t="s">
        <v>31</v>
      </c>
      <c r="Q1" s="9" t="s">
        <v>2441</v>
      </c>
      <c r="R1" s="9" t="s">
        <v>512</v>
      </c>
      <c r="S1" s="9" t="s">
        <v>1082</v>
      </c>
      <c r="T1" s="9" t="s">
        <v>1674</v>
      </c>
      <c r="V1" s="9"/>
    </row>
    <row r="2" spans="1:23" x14ac:dyDescent="0.25">
      <c r="A2" s="9"/>
      <c r="E2" t="s">
        <v>2740</v>
      </c>
      <c r="F2" t="s">
        <v>2511</v>
      </c>
      <c r="G2" s="1" t="s">
        <v>670</v>
      </c>
      <c r="I2" s="9" t="s">
        <v>819</v>
      </c>
      <c r="J2" s="9" t="s">
        <v>1756</v>
      </c>
      <c r="K2" s="9" t="s">
        <v>1761</v>
      </c>
      <c r="L2" s="9" t="s">
        <v>2515</v>
      </c>
      <c r="M2" s="9" t="s">
        <v>990</v>
      </c>
      <c r="N2" s="9" t="s">
        <v>991</v>
      </c>
      <c r="O2" s="9" t="s">
        <v>1556</v>
      </c>
      <c r="P2" s="9" t="s">
        <v>2514</v>
      </c>
      <c r="Q2" s="9"/>
      <c r="R2" s="9" t="s">
        <v>992</v>
      </c>
      <c r="S2" s="9" t="s">
        <v>1762</v>
      </c>
      <c r="T2" s="9"/>
      <c r="W2" s="9"/>
    </row>
    <row r="3" spans="1:23" x14ac:dyDescent="0.25">
      <c r="A3" t="s">
        <v>2100</v>
      </c>
      <c r="E3" t="s">
        <v>2743</v>
      </c>
      <c r="F3" t="s">
        <v>1858</v>
      </c>
      <c r="G3" s="1" t="s">
        <v>1854</v>
      </c>
      <c r="I3" s="9" t="s">
        <v>1140</v>
      </c>
      <c r="J3" s="9" t="s">
        <v>797</v>
      </c>
      <c r="K3" s="9" t="s">
        <v>1795</v>
      </c>
      <c r="L3" s="9" t="s">
        <v>2516</v>
      </c>
      <c r="M3" s="9" t="s">
        <v>815</v>
      </c>
      <c r="N3" s="9" t="s">
        <v>1080</v>
      </c>
      <c r="O3" s="9"/>
      <c r="P3" s="9" t="s">
        <v>988</v>
      </c>
      <c r="Q3" s="9"/>
      <c r="R3" s="9" t="s">
        <v>814</v>
      </c>
      <c r="S3" s="9" t="s">
        <v>1790</v>
      </c>
      <c r="T3" s="9"/>
    </row>
    <row r="4" spans="1:23" x14ac:dyDescent="0.25">
      <c r="A4" t="s">
        <v>2101</v>
      </c>
      <c r="E4" t="s">
        <v>1629</v>
      </c>
      <c r="F4" t="s">
        <v>1859</v>
      </c>
      <c r="G4" s="1" t="s">
        <v>667</v>
      </c>
      <c r="I4" s="9" t="s">
        <v>1079</v>
      </c>
      <c r="J4" s="9" t="s">
        <v>1141</v>
      </c>
      <c r="K4" s="9" t="s">
        <v>987</v>
      </c>
      <c r="L4" s="9" t="s">
        <v>1225</v>
      </c>
      <c r="M4" s="9" t="s">
        <v>1572</v>
      </c>
      <c r="N4" s="9" t="s">
        <v>1081</v>
      </c>
      <c r="O4" s="9"/>
      <c r="P4" s="9" t="s">
        <v>1779</v>
      </c>
      <c r="Q4" s="9"/>
      <c r="R4" s="9" t="s">
        <v>1143</v>
      </c>
      <c r="S4" s="9"/>
      <c r="T4" s="9"/>
    </row>
    <row r="5" spans="1:23" x14ac:dyDescent="0.25">
      <c r="A5" t="s">
        <v>2102</v>
      </c>
      <c r="E5" t="s">
        <v>1851</v>
      </c>
      <c r="F5" s="1" t="s">
        <v>1850</v>
      </c>
      <c r="G5" s="1" t="s">
        <v>1629</v>
      </c>
      <c r="I5" s="9" t="s">
        <v>1763</v>
      </c>
      <c r="J5" s="9"/>
      <c r="K5" s="9" t="s">
        <v>1757</v>
      </c>
      <c r="L5" s="9" t="s">
        <v>2517</v>
      </c>
      <c r="M5" s="9"/>
      <c r="N5" s="9" t="s">
        <v>1787</v>
      </c>
      <c r="O5" s="9"/>
      <c r="P5" s="9" t="s">
        <v>1780</v>
      </c>
      <c r="Q5" s="9"/>
      <c r="R5" s="9"/>
      <c r="S5" s="9"/>
      <c r="T5" s="9"/>
    </row>
    <row r="6" spans="1:23" x14ac:dyDescent="0.25">
      <c r="A6" t="s">
        <v>2103</v>
      </c>
      <c r="E6" t="s">
        <v>1507</v>
      </c>
      <c r="F6" t="s">
        <v>1629</v>
      </c>
      <c r="G6" s="1" t="s">
        <v>1507</v>
      </c>
      <c r="I6" s="9"/>
      <c r="J6" s="9"/>
      <c r="K6" s="9"/>
      <c r="L6" s="9" t="s">
        <v>2518</v>
      </c>
      <c r="M6" s="9"/>
      <c r="N6" s="9"/>
      <c r="O6" s="9"/>
      <c r="P6" s="9" t="s">
        <v>1781</v>
      </c>
      <c r="Q6" s="9"/>
      <c r="R6" s="9"/>
      <c r="S6" s="9"/>
      <c r="T6" s="9"/>
    </row>
    <row r="7" spans="1:23" x14ac:dyDescent="0.25">
      <c r="A7" t="s">
        <v>2104</v>
      </c>
      <c r="E7" t="s">
        <v>2742</v>
      </c>
      <c r="F7" t="s">
        <v>1851</v>
      </c>
      <c r="G7" s="1" t="s">
        <v>1853</v>
      </c>
      <c r="I7" s="9"/>
      <c r="J7" s="9"/>
      <c r="K7" s="9"/>
      <c r="L7" s="9"/>
      <c r="M7" s="9"/>
      <c r="N7" s="9"/>
      <c r="O7" s="9"/>
      <c r="P7" s="9" t="s">
        <v>1782</v>
      </c>
      <c r="Q7" s="9"/>
      <c r="R7" s="9"/>
      <c r="S7" s="9"/>
      <c r="T7" s="9"/>
    </row>
    <row r="8" spans="1:23" x14ac:dyDescent="0.25">
      <c r="A8" s="9"/>
      <c r="E8" t="s">
        <v>1627</v>
      </c>
      <c r="F8" t="s">
        <v>1507</v>
      </c>
      <c r="G8" s="1" t="s">
        <v>1628</v>
      </c>
      <c r="I8" t="s">
        <v>2519</v>
      </c>
      <c r="P8" t="s">
        <v>1783</v>
      </c>
      <c r="R8">
        <f>(2*5.5+14+2)</f>
        <v>27</v>
      </c>
    </row>
    <row r="9" spans="1:23" x14ac:dyDescent="0.25">
      <c r="A9" s="9"/>
      <c r="E9" t="s">
        <v>1855</v>
      </c>
      <c r="F9" t="s">
        <v>1865</v>
      </c>
      <c r="G9" s="1" t="s">
        <v>671</v>
      </c>
      <c r="H9" t="s">
        <v>1546</v>
      </c>
      <c r="I9" t="s">
        <v>617</v>
      </c>
      <c r="J9" t="s">
        <v>618</v>
      </c>
      <c r="K9" t="s">
        <v>31</v>
      </c>
      <c r="P9" t="s">
        <v>1784</v>
      </c>
      <c r="R9">
        <v>4</v>
      </c>
    </row>
    <row r="10" spans="1:23" x14ac:dyDescent="0.25">
      <c r="A10" s="9"/>
      <c r="E10" t="s">
        <v>1626</v>
      </c>
      <c r="F10" t="s">
        <v>1866</v>
      </c>
      <c r="G10" s="1" t="s">
        <v>1627</v>
      </c>
      <c r="H10">
        <v>1</v>
      </c>
      <c r="I10" t="s">
        <v>869</v>
      </c>
      <c r="J10" t="s">
        <v>878</v>
      </c>
      <c r="K10" t="s">
        <v>923</v>
      </c>
      <c r="N10" t="s">
        <v>2134</v>
      </c>
      <c r="P10" t="s">
        <v>1142</v>
      </c>
      <c r="R10">
        <f>R8*R9</f>
        <v>108</v>
      </c>
    </row>
    <row r="11" spans="1:23" x14ac:dyDescent="0.25">
      <c r="A11" s="9"/>
      <c r="B11" t="s">
        <v>992</v>
      </c>
      <c r="E11" t="s">
        <v>2739</v>
      </c>
      <c r="F11" t="s">
        <v>1867</v>
      </c>
      <c r="G11" s="1" t="s">
        <v>668</v>
      </c>
      <c r="I11" t="s">
        <v>964</v>
      </c>
      <c r="K11" t="s">
        <v>2012</v>
      </c>
      <c r="N11" t="s">
        <v>2521</v>
      </c>
      <c r="R11">
        <f>4.5+2+14</f>
        <v>20.5</v>
      </c>
    </row>
    <row r="12" spans="1:23" x14ac:dyDescent="0.25">
      <c r="A12" s="9"/>
      <c r="B12" t="s">
        <v>1206</v>
      </c>
      <c r="E12" t="s">
        <v>1631</v>
      </c>
      <c r="F12" t="s">
        <v>671</v>
      </c>
      <c r="G12" s="1" t="s">
        <v>1622</v>
      </c>
      <c r="I12" t="s">
        <v>868</v>
      </c>
      <c r="K12" t="s">
        <v>921</v>
      </c>
      <c r="N12" t="s">
        <v>2522</v>
      </c>
    </row>
    <row r="13" spans="1:23" x14ac:dyDescent="0.25">
      <c r="A13" s="9"/>
      <c r="B13" t="s">
        <v>1207</v>
      </c>
      <c r="E13" t="s">
        <v>1630</v>
      </c>
      <c r="F13" t="s">
        <v>1627</v>
      </c>
      <c r="G13" s="1" t="s">
        <v>1621</v>
      </c>
      <c r="K13" t="s">
        <v>2397</v>
      </c>
      <c r="N13" t="s">
        <v>2523</v>
      </c>
    </row>
    <row r="14" spans="1:23" x14ac:dyDescent="0.25">
      <c r="A14" s="9"/>
      <c r="E14" t="s">
        <v>1862</v>
      </c>
      <c r="F14" t="s">
        <v>1870</v>
      </c>
      <c r="G14" s="1" t="s">
        <v>1623</v>
      </c>
      <c r="K14" t="s">
        <v>2520</v>
      </c>
    </row>
    <row r="15" spans="1:23" x14ac:dyDescent="0.25">
      <c r="A15" s="9"/>
      <c r="B15" t="s">
        <v>2527</v>
      </c>
      <c r="E15" t="s">
        <v>1597</v>
      </c>
      <c r="F15" t="s">
        <v>1855</v>
      </c>
      <c r="G15" s="1" t="s">
        <v>1626</v>
      </c>
      <c r="K15" t="s">
        <v>834</v>
      </c>
      <c r="N15" t="s">
        <v>830</v>
      </c>
    </row>
    <row r="16" spans="1:23" x14ac:dyDescent="0.25">
      <c r="A16" s="9"/>
      <c r="B16" t="s">
        <v>1556</v>
      </c>
      <c r="E16" t="s">
        <v>2741</v>
      </c>
      <c r="F16" t="s">
        <v>1856</v>
      </c>
      <c r="G16" s="1" t="s">
        <v>672</v>
      </c>
      <c r="K16" t="s">
        <v>832</v>
      </c>
      <c r="N16" t="s">
        <v>1715</v>
      </c>
    </row>
    <row r="17" spans="1:17" x14ac:dyDescent="0.25">
      <c r="A17" s="9"/>
      <c r="B17" t="s">
        <v>990</v>
      </c>
      <c r="F17" t="s">
        <v>1626</v>
      </c>
      <c r="G17" s="1" t="s">
        <v>1631</v>
      </c>
      <c r="H17">
        <v>2</v>
      </c>
      <c r="I17" t="s">
        <v>877</v>
      </c>
      <c r="J17" t="s">
        <v>811</v>
      </c>
      <c r="K17" t="s">
        <v>836</v>
      </c>
      <c r="N17" t="s">
        <v>934</v>
      </c>
      <c r="Q17" t="s">
        <v>1294</v>
      </c>
    </row>
    <row r="18" spans="1:17" x14ac:dyDescent="0.25">
      <c r="A18" s="9"/>
      <c r="B18" t="s">
        <v>2529</v>
      </c>
      <c r="F18" t="s">
        <v>1860</v>
      </c>
      <c r="G18" s="1" t="s">
        <v>1630</v>
      </c>
      <c r="I18" t="s">
        <v>811</v>
      </c>
      <c r="J18" t="s">
        <v>897</v>
      </c>
      <c r="K18" t="s">
        <v>838</v>
      </c>
      <c r="N18" t="s">
        <v>689</v>
      </c>
      <c r="Q18" t="s">
        <v>630</v>
      </c>
    </row>
    <row r="19" spans="1:17" x14ac:dyDescent="0.25">
      <c r="A19" s="9"/>
      <c r="B19" t="s">
        <v>1780</v>
      </c>
      <c r="E19" s="1" t="s">
        <v>1850</v>
      </c>
      <c r="F19" t="s">
        <v>1631</v>
      </c>
      <c r="G19" s="1" t="s">
        <v>1852</v>
      </c>
      <c r="I19" t="s">
        <v>874</v>
      </c>
      <c r="K19" t="s">
        <v>1910</v>
      </c>
      <c r="N19" t="s">
        <v>849</v>
      </c>
      <c r="Q19" t="s">
        <v>1293</v>
      </c>
    </row>
    <row r="20" spans="1:17" x14ac:dyDescent="0.25">
      <c r="A20" s="9"/>
      <c r="B20" t="s">
        <v>2532</v>
      </c>
      <c r="E20" t="s">
        <v>1870</v>
      </c>
      <c r="F20" t="s">
        <v>1861</v>
      </c>
      <c r="G20" s="1" t="s">
        <v>1625</v>
      </c>
      <c r="I20" t="s">
        <v>2019</v>
      </c>
      <c r="K20" t="s">
        <v>929</v>
      </c>
      <c r="N20" t="s">
        <v>2133</v>
      </c>
      <c r="Q20" t="s">
        <v>2120</v>
      </c>
    </row>
    <row r="21" spans="1:17" x14ac:dyDescent="0.25">
      <c r="A21" s="9"/>
      <c r="B21" t="s">
        <v>2533</v>
      </c>
      <c r="E21" t="s">
        <v>2512</v>
      </c>
      <c r="F21" t="s">
        <v>1630</v>
      </c>
      <c r="G21" s="1" t="s">
        <v>1597</v>
      </c>
      <c r="K21" t="s">
        <v>837</v>
      </c>
      <c r="N21" t="s">
        <v>681</v>
      </c>
      <c r="Q21" t="s">
        <v>1212</v>
      </c>
    </row>
    <row r="22" spans="1:17" x14ac:dyDescent="0.25">
      <c r="A22" s="9"/>
      <c r="B22" t="s">
        <v>815</v>
      </c>
      <c r="D22" t="s">
        <v>2528</v>
      </c>
      <c r="F22" t="s">
        <v>1862</v>
      </c>
      <c r="G22" s="1" t="s">
        <v>2513</v>
      </c>
      <c r="K22" t="s">
        <v>1473</v>
      </c>
      <c r="N22" t="s">
        <v>2524</v>
      </c>
    </row>
    <row r="23" spans="1:17" x14ac:dyDescent="0.25">
      <c r="A23" s="9"/>
      <c r="B23" t="s">
        <v>1783</v>
      </c>
      <c r="D23" t="s">
        <v>2530</v>
      </c>
      <c r="F23" t="s">
        <v>2512</v>
      </c>
      <c r="H23">
        <v>3</v>
      </c>
      <c r="I23" t="s">
        <v>881</v>
      </c>
      <c r="J23" t="s">
        <v>2017</v>
      </c>
      <c r="K23" t="s">
        <v>930</v>
      </c>
      <c r="N23" t="s">
        <v>2525</v>
      </c>
    </row>
    <row r="24" spans="1:17" x14ac:dyDescent="0.25">
      <c r="A24" s="9"/>
      <c r="B24" t="s">
        <v>1784</v>
      </c>
      <c r="F24" t="s">
        <v>1863</v>
      </c>
      <c r="K24" t="s">
        <v>839</v>
      </c>
      <c r="N24" t="s">
        <v>2340</v>
      </c>
    </row>
    <row r="25" spans="1:17" x14ac:dyDescent="0.25">
      <c r="A25" s="9"/>
      <c r="F25" t="s">
        <v>1868</v>
      </c>
      <c r="K25" t="s">
        <v>840</v>
      </c>
      <c r="N25" t="s">
        <v>747</v>
      </c>
    </row>
    <row r="26" spans="1:17" x14ac:dyDescent="0.25">
      <c r="A26" s="9"/>
      <c r="F26" t="s">
        <v>1597</v>
      </c>
      <c r="K26" t="s">
        <v>933</v>
      </c>
      <c r="N26" t="s">
        <v>1231</v>
      </c>
    </row>
    <row r="27" spans="1:17" x14ac:dyDescent="0.25">
      <c r="A27" s="9"/>
      <c r="F27" t="s">
        <v>1869</v>
      </c>
      <c r="K27" t="s">
        <v>843</v>
      </c>
      <c r="N27" t="s">
        <v>2526</v>
      </c>
    </row>
    <row r="28" spans="1:17" x14ac:dyDescent="0.25">
      <c r="A28" s="9"/>
      <c r="F28" t="s">
        <v>2510</v>
      </c>
      <c r="K28" t="s">
        <v>841</v>
      </c>
    </row>
    <row r="29" spans="1:17" x14ac:dyDescent="0.25">
      <c r="A29" s="9"/>
      <c r="B29" t="s">
        <v>2535</v>
      </c>
      <c r="F29" t="s">
        <v>1857</v>
      </c>
      <c r="K29" t="s">
        <v>874</v>
      </c>
      <c r="N29" t="s">
        <v>1016</v>
      </c>
    </row>
    <row r="30" spans="1:17" x14ac:dyDescent="0.25">
      <c r="A30" s="9"/>
      <c r="B30" t="s">
        <v>1622</v>
      </c>
      <c r="K30" t="s">
        <v>1912</v>
      </c>
      <c r="N30" t="s">
        <v>873</v>
      </c>
    </row>
    <row r="31" spans="1:17" x14ac:dyDescent="0.25">
      <c r="A31" s="9"/>
      <c r="B31" t="s">
        <v>670</v>
      </c>
      <c r="H31">
        <v>4</v>
      </c>
      <c r="K31" t="s">
        <v>734</v>
      </c>
      <c r="N31" t="s">
        <v>966</v>
      </c>
    </row>
    <row r="32" spans="1:17" x14ac:dyDescent="0.25">
      <c r="A32" s="9"/>
      <c r="B32" t="s">
        <v>2534</v>
      </c>
      <c r="K32" t="s">
        <v>937</v>
      </c>
      <c r="N32" t="s">
        <v>647</v>
      </c>
    </row>
    <row r="33" spans="1:15" x14ac:dyDescent="0.25">
      <c r="A33" s="9"/>
      <c r="N33" t="s">
        <v>902</v>
      </c>
    </row>
    <row r="34" spans="1:15" x14ac:dyDescent="0.25">
      <c r="A34" s="9"/>
      <c r="N34" t="s">
        <v>906</v>
      </c>
    </row>
    <row r="35" spans="1:15" x14ac:dyDescent="0.25">
      <c r="A35" s="9"/>
      <c r="N35" t="s">
        <v>904</v>
      </c>
    </row>
    <row r="36" spans="1:15" x14ac:dyDescent="0.25">
      <c r="A36" s="9"/>
      <c r="D36" s="4" t="s">
        <v>881</v>
      </c>
      <c r="F36" t="s">
        <v>871</v>
      </c>
      <c r="H36" s="4" t="s">
        <v>832</v>
      </c>
      <c r="J36" s="4" t="s">
        <v>2397</v>
      </c>
      <c r="N36" t="s">
        <v>916</v>
      </c>
    </row>
    <row r="37" spans="1:15" x14ac:dyDescent="0.25">
      <c r="A37" s="9"/>
      <c r="D37" t="s">
        <v>1902</v>
      </c>
      <c r="F37" t="s">
        <v>726</v>
      </c>
      <c r="H37" s="4" t="s">
        <v>836</v>
      </c>
      <c r="J37" s="4" t="s">
        <v>2398</v>
      </c>
      <c r="N37" t="s">
        <v>2278</v>
      </c>
    </row>
    <row r="38" spans="1:15" x14ac:dyDescent="0.25">
      <c r="A38" s="9"/>
      <c r="D38" t="s">
        <v>975</v>
      </c>
      <c r="F38" t="s">
        <v>1016</v>
      </c>
      <c r="H38" t="s">
        <v>838</v>
      </c>
      <c r="J38" t="s">
        <v>930</v>
      </c>
    </row>
    <row r="39" spans="1:15" x14ac:dyDescent="0.25">
      <c r="A39" s="9"/>
      <c r="D39" s="4" t="s">
        <v>2547</v>
      </c>
      <c r="F39" t="s">
        <v>964</v>
      </c>
      <c r="H39" s="4" t="s">
        <v>843</v>
      </c>
      <c r="J39" s="4" t="s">
        <v>839</v>
      </c>
    </row>
    <row r="40" spans="1:15" x14ac:dyDescent="0.25">
      <c r="A40" s="9"/>
      <c r="D40" t="s">
        <v>904</v>
      </c>
      <c r="F40" t="s">
        <v>869</v>
      </c>
      <c r="H40" t="s">
        <v>2266</v>
      </c>
      <c r="J40" s="9" t="s">
        <v>933</v>
      </c>
      <c r="K40" s="9"/>
      <c r="L40" s="9"/>
      <c r="M40" s="9"/>
      <c r="N40" s="9"/>
      <c r="O40" s="9"/>
    </row>
    <row r="41" spans="1:15" x14ac:dyDescent="0.25">
      <c r="A41" s="9"/>
      <c r="D41" s="4" t="s">
        <v>919</v>
      </c>
      <c r="F41" s="4" t="s">
        <v>870</v>
      </c>
      <c r="H41" t="s">
        <v>939</v>
      </c>
      <c r="J41" s="9" t="s">
        <v>1915</v>
      </c>
      <c r="K41" s="9"/>
      <c r="L41" s="9"/>
      <c r="M41" s="9"/>
      <c r="N41" s="9"/>
      <c r="O41" s="9"/>
    </row>
    <row r="42" spans="1:15" x14ac:dyDescent="0.25">
      <c r="A42" s="9"/>
      <c r="D42" t="s">
        <v>2278</v>
      </c>
      <c r="F42" s="4" t="s">
        <v>966</v>
      </c>
      <c r="H42" s="4" t="s">
        <v>850</v>
      </c>
      <c r="J42" s="23" t="s">
        <v>940</v>
      </c>
      <c r="K42" s="9"/>
      <c r="L42" s="9"/>
      <c r="M42" s="9"/>
      <c r="N42" s="9"/>
      <c r="O42" s="9"/>
    </row>
    <row r="43" spans="1:15" x14ac:dyDescent="0.25">
      <c r="A43" s="9"/>
      <c r="F43" t="s">
        <v>877</v>
      </c>
      <c r="H43" t="s">
        <v>2484</v>
      </c>
      <c r="J43" s="23" t="s">
        <v>849</v>
      </c>
      <c r="K43" s="9"/>
      <c r="L43" s="9"/>
      <c r="M43" s="9"/>
      <c r="N43" s="9"/>
      <c r="O43" s="9"/>
    </row>
    <row r="44" spans="1:15" x14ac:dyDescent="0.25">
      <c r="A44" s="9"/>
      <c r="F44" t="s">
        <v>811</v>
      </c>
      <c r="H44" t="s">
        <v>2400</v>
      </c>
      <c r="J44" s="23" t="s">
        <v>941</v>
      </c>
      <c r="K44" s="9"/>
      <c r="L44" s="9"/>
      <c r="M44" s="9"/>
      <c r="N44" s="9"/>
      <c r="O44" s="9"/>
    </row>
    <row r="45" spans="1:15" x14ac:dyDescent="0.25">
      <c r="A45" s="9"/>
      <c r="F45" s="1" t="s">
        <v>873</v>
      </c>
      <c r="H45" s="1" t="s">
        <v>943</v>
      </c>
      <c r="J45" s="23" t="s">
        <v>855</v>
      </c>
      <c r="K45" s="9"/>
      <c r="L45" s="9"/>
      <c r="M45" s="9"/>
      <c r="N45" s="9"/>
      <c r="O45" s="9"/>
    </row>
    <row r="46" spans="1:15" x14ac:dyDescent="0.25">
      <c r="A46" s="9"/>
      <c r="F46" t="s">
        <v>874</v>
      </c>
      <c r="H46" s="4" t="s">
        <v>681</v>
      </c>
      <c r="J46" s="23" t="s">
        <v>1786</v>
      </c>
      <c r="K46" s="9"/>
      <c r="L46" s="9"/>
      <c r="M46" s="9"/>
    </row>
    <row r="47" spans="1:15" x14ac:dyDescent="0.25">
      <c r="A47" s="9"/>
      <c r="F47" t="s">
        <v>879</v>
      </c>
      <c r="H47" t="s">
        <v>947</v>
      </c>
      <c r="J47" s="9" t="s">
        <v>949</v>
      </c>
      <c r="K47" s="9"/>
      <c r="L47" s="9"/>
      <c r="M47" s="9"/>
    </row>
    <row r="48" spans="1:15" x14ac:dyDescent="0.25">
      <c r="A48" s="9"/>
      <c r="F48" t="s">
        <v>886</v>
      </c>
      <c r="H48" t="s">
        <v>2542</v>
      </c>
      <c r="J48" s="23" t="s">
        <v>2227</v>
      </c>
      <c r="K48" s="9"/>
      <c r="L48" s="9"/>
      <c r="M48" s="9"/>
    </row>
    <row r="49" spans="1:27" x14ac:dyDescent="0.25">
      <c r="A49" s="9"/>
      <c r="B49" s="4"/>
      <c r="F49" t="s">
        <v>885</v>
      </c>
      <c r="H49" s="4" t="s">
        <v>857</v>
      </c>
      <c r="J49" s="9" t="s">
        <v>954</v>
      </c>
      <c r="K49" s="9"/>
      <c r="L49" s="9"/>
    </row>
    <row r="50" spans="1:27" x14ac:dyDescent="0.25">
      <c r="A50" s="9"/>
      <c r="B50" s="4"/>
      <c r="F50" s="4" t="s">
        <v>850</v>
      </c>
      <c r="H50" t="s">
        <v>856</v>
      </c>
      <c r="J50" s="9" t="s">
        <v>1476</v>
      </c>
      <c r="K50" s="9"/>
      <c r="L50" s="9"/>
    </row>
    <row r="51" spans="1:27" x14ac:dyDescent="0.25">
      <c r="A51" s="9"/>
      <c r="B51" s="4"/>
      <c r="F51" s="4" t="s">
        <v>2545</v>
      </c>
      <c r="H51" s="4" t="s">
        <v>1925</v>
      </c>
      <c r="J51" s="23" t="s">
        <v>504</v>
      </c>
      <c r="K51" s="9"/>
      <c r="L51" s="9"/>
    </row>
    <row r="52" spans="1:27" x14ac:dyDescent="0.25">
      <c r="A52" s="9"/>
      <c r="B52" s="4"/>
      <c r="F52" t="s">
        <v>890</v>
      </c>
      <c r="H52" t="s">
        <v>862</v>
      </c>
      <c r="J52" s="9"/>
      <c r="K52" s="9"/>
      <c r="L52" s="9"/>
    </row>
    <row r="53" spans="1:27" x14ac:dyDescent="0.25">
      <c r="A53" s="9"/>
      <c r="B53" s="4"/>
      <c r="F53" t="s">
        <v>647</v>
      </c>
      <c r="H53" t="s">
        <v>2543</v>
      </c>
      <c r="J53" s="9"/>
      <c r="K53" s="9"/>
      <c r="L53" s="9"/>
    </row>
    <row r="54" spans="1:27" x14ac:dyDescent="0.25">
      <c r="A54" s="9"/>
      <c r="B54" s="4"/>
      <c r="F54" t="s">
        <v>680</v>
      </c>
      <c r="H54" t="s">
        <v>2544</v>
      </c>
      <c r="J54" s="9"/>
      <c r="K54" s="9"/>
      <c r="L54" s="9"/>
      <c r="M54" s="9"/>
      <c r="N54" s="9"/>
      <c r="O54" s="9"/>
    </row>
    <row r="55" spans="1:27" x14ac:dyDescent="0.25">
      <c r="A55" s="9"/>
      <c r="B55" s="4"/>
      <c r="F55" s="4" t="s">
        <v>972</v>
      </c>
      <c r="H55" s="4" t="s">
        <v>747</v>
      </c>
      <c r="J55" s="9"/>
      <c r="K55" s="9"/>
      <c r="L55" s="9"/>
      <c r="M55" s="9"/>
      <c r="N55" s="9"/>
      <c r="O55" s="9"/>
    </row>
    <row r="56" spans="1:27" x14ac:dyDescent="0.25">
      <c r="A56" s="9"/>
      <c r="F56" s="4" t="s">
        <v>901</v>
      </c>
      <c r="H56" s="4" t="s">
        <v>1231</v>
      </c>
      <c r="J56" s="9"/>
      <c r="K56" s="9"/>
      <c r="L56" s="9"/>
      <c r="M56" s="9"/>
      <c r="N56" s="9"/>
      <c r="O56" s="9"/>
    </row>
    <row r="57" spans="1:27" x14ac:dyDescent="0.25">
      <c r="A57" s="9"/>
      <c r="F57" s="4" t="s">
        <v>908</v>
      </c>
      <c r="H57" t="s">
        <v>962</v>
      </c>
      <c r="J57" s="9"/>
      <c r="K57" s="9"/>
      <c r="L57" s="9"/>
      <c r="M57" s="9"/>
    </row>
    <row r="58" spans="1:27" x14ac:dyDescent="0.25">
      <c r="A58" s="9"/>
      <c r="F58" t="s">
        <v>904</v>
      </c>
      <c r="H58" s="4" t="s">
        <v>1990</v>
      </c>
      <c r="J58" s="9"/>
      <c r="K58" s="9"/>
      <c r="L58" s="9"/>
      <c r="M58" s="9"/>
    </row>
    <row r="59" spans="1:27" x14ac:dyDescent="0.25">
      <c r="A59" s="9"/>
      <c r="F59" t="s">
        <v>2135</v>
      </c>
      <c r="J59" s="9"/>
      <c r="K59" s="9"/>
      <c r="L59" s="9"/>
      <c r="M59" s="9"/>
    </row>
    <row r="60" spans="1:27" x14ac:dyDescent="0.25">
      <c r="A60" s="9"/>
      <c r="F60" t="s">
        <v>962</v>
      </c>
      <c r="J60" s="9"/>
      <c r="K60" s="9"/>
      <c r="L60" s="9"/>
      <c r="M60" s="9"/>
    </row>
    <row r="61" spans="1:27" x14ac:dyDescent="0.25">
      <c r="A61" s="9"/>
      <c r="F61" t="s">
        <v>2403</v>
      </c>
      <c r="J61" s="9"/>
      <c r="K61" s="9"/>
      <c r="L61" s="9"/>
      <c r="M61" s="9"/>
      <c r="R61" s="1"/>
      <c r="S61" s="1"/>
      <c r="T61" s="1"/>
      <c r="U61" s="1"/>
      <c r="V61" s="1"/>
      <c r="W61" s="1"/>
      <c r="X61" s="1"/>
      <c r="Y61" s="1"/>
      <c r="Z61" s="1"/>
      <c r="AA61" s="1"/>
    </row>
    <row r="62" spans="1:27" x14ac:dyDescent="0.25">
      <c r="A62" s="9"/>
      <c r="F62" t="s">
        <v>936</v>
      </c>
      <c r="J62" s="9"/>
      <c r="K62" s="9"/>
      <c r="L62" s="9"/>
      <c r="M62" s="9"/>
      <c r="R62" s="1"/>
      <c r="S62" s="1"/>
      <c r="T62" s="1"/>
      <c r="U62" s="1"/>
      <c r="V62" s="1"/>
      <c r="W62" s="1"/>
      <c r="X62" s="1"/>
      <c r="Y62" s="1"/>
      <c r="Z62" s="1"/>
      <c r="AA62" s="1"/>
    </row>
    <row r="63" spans="1:27" x14ac:dyDescent="0.25">
      <c r="A63" s="9"/>
      <c r="F63" s="4" t="s">
        <v>916</v>
      </c>
      <c r="J63" s="9"/>
      <c r="K63" s="9"/>
      <c r="L63" s="9"/>
      <c r="M63" s="9"/>
      <c r="R63" s="1"/>
      <c r="S63" s="1"/>
      <c r="T63" s="1"/>
      <c r="U63" s="1"/>
      <c r="V63" s="1"/>
      <c r="W63" s="1"/>
      <c r="X63" s="1"/>
      <c r="Y63" s="1"/>
      <c r="Z63" s="1"/>
      <c r="AA63" s="1"/>
    </row>
    <row r="64" spans="1:27" x14ac:dyDescent="0.25">
      <c r="A64" s="9"/>
      <c r="F64" t="s">
        <v>985</v>
      </c>
      <c r="J64" s="9"/>
      <c r="K64" s="9"/>
      <c r="L64" s="9"/>
      <c r="M64" s="9"/>
      <c r="R64" s="1"/>
      <c r="S64" s="1"/>
      <c r="T64" s="1"/>
      <c r="U64" s="1"/>
      <c r="V64" s="1"/>
      <c r="W64" s="1"/>
      <c r="X64" s="1"/>
      <c r="Y64" s="1"/>
      <c r="Z64" s="1"/>
      <c r="AA64" s="1"/>
    </row>
    <row r="65" spans="1:27" x14ac:dyDescent="0.25">
      <c r="A65" s="9"/>
      <c r="F65" t="s">
        <v>912</v>
      </c>
      <c r="J65" s="9"/>
      <c r="K65" s="9"/>
      <c r="L65" s="9"/>
      <c r="M65" s="9"/>
      <c r="R65" s="1"/>
      <c r="S65" s="1"/>
      <c r="T65" s="1"/>
      <c r="U65" s="1"/>
      <c r="V65" s="1"/>
      <c r="W65" s="1"/>
      <c r="X65" s="1"/>
      <c r="Y65" s="1"/>
      <c r="Z65" s="1"/>
      <c r="AA65" s="1"/>
    </row>
    <row r="66" spans="1:27" x14ac:dyDescent="0.25">
      <c r="A66" s="9"/>
      <c r="F66" s="4" t="s">
        <v>2546</v>
      </c>
      <c r="J66" s="9"/>
      <c r="K66" s="9"/>
      <c r="L66" s="9"/>
      <c r="M66" s="9"/>
      <c r="R66" s="1"/>
      <c r="S66" s="1"/>
      <c r="T66" s="1"/>
      <c r="U66" s="1"/>
      <c r="V66" s="1"/>
      <c r="W66" s="1"/>
      <c r="X66" s="1"/>
      <c r="Y66" s="1"/>
      <c r="Z66" s="1"/>
      <c r="AA66" s="1"/>
    </row>
    <row r="67" spans="1:27" x14ac:dyDescent="0.25">
      <c r="A67" s="9"/>
      <c r="F67" t="s">
        <v>1991</v>
      </c>
      <c r="R67" s="1"/>
      <c r="S67" s="1"/>
      <c r="T67" s="1"/>
      <c r="U67" s="1"/>
      <c r="V67" s="1"/>
      <c r="W67" s="1"/>
      <c r="X67" s="1"/>
      <c r="Y67" s="1"/>
      <c r="Z67" s="1"/>
      <c r="AA67" s="1"/>
    </row>
    <row r="68" spans="1:27" x14ac:dyDescent="0.25">
      <c r="A68" s="9"/>
      <c r="F68" t="s">
        <v>2278</v>
      </c>
      <c r="R68" s="1"/>
      <c r="S68" s="1"/>
      <c r="T68" s="1"/>
      <c r="U68" s="1"/>
      <c r="V68" s="1"/>
      <c r="W68" s="1"/>
      <c r="X68" s="1"/>
      <c r="Y68" s="1"/>
      <c r="Z68" s="1"/>
      <c r="AA68" s="1"/>
    </row>
    <row r="69" spans="1:27" x14ac:dyDescent="0.25">
      <c r="A69" s="9"/>
      <c r="F69" s="4" t="s">
        <v>1934</v>
      </c>
    </row>
    <row r="70" spans="1:27" x14ac:dyDescent="0.25">
      <c r="A70" s="9"/>
    </row>
    <row r="71" spans="1:27" x14ac:dyDescent="0.25">
      <c r="A71" s="9"/>
    </row>
    <row r="72" spans="1:27" x14ac:dyDescent="0.25">
      <c r="A72" s="9"/>
      <c r="N72" t="s">
        <v>630</v>
      </c>
    </row>
    <row r="73" spans="1:27" x14ac:dyDescent="0.25">
      <c r="A73" s="9"/>
      <c r="N73" t="s">
        <v>1491</v>
      </c>
    </row>
    <row r="74" spans="1:27" x14ac:dyDescent="0.25">
      <c r="A74" s="9"/>
      <c r="N74" t="s">
        <v>1492</v>
      </c>
    </row>
    <row r="75" spans="1:27" x14ac:dyDescent="0.25">
      <c r="A75" s="9"/>
      <c r="C75" s="1" t="s">
        <v>670</v>
      </c>
      <c r="E75" s="1" t="s">
        <v>670</v>
      </c>
      <c r="G75" t="s">
        <v>1491</v>
      </c>
      <c r="H75" s="1"/>
      <c r="N75" t="s">
        <v>633</v>
      </c>
    </row>
    <row r="76" spans="1:27" x14ac:dyDescent="0.25">
      <c r="A76" s="9"/>
      <c r="C76" s="1" t="s">
        <v>1854</v>
      </c>
      <c r="E76" s="1" t="s">
        <v>1854</v>
      </c>
      <c r="G76" t="s">
        <v>630</v>
      </c>
      <c r="H76" s="1"/>
      <c r="N76" t="s">
        <v>2119</v>
      </c>
    </row>
    <row r="77" spans="1:27" x14ac:dyDescent="0.25">
      <c r="A77" s="9"/>
      <c r="C77" s="1" t="s">
        <v>667</v>
      </c>
      <c r="E77" s="1" t="s">
        <v>667</v>
      </c>
      <c r="G77" t="s">
        <v>633</v>
      </c>
      <c r="H77" s="1"/>
      <c r="N77" s="1"/>
      <c r="R77" t="s">
        <v>1491</v>
      </c>
    </row>
    <row r="78" spans="1:27" x14ac:dyDescent="0.25">
      <c r="A78" s="9"/>
      <c r="C78" s="1" t="s">
        <v>1507</v>
      </c>
      <c r="E78" s="1" t="s">
        <v>1629</v>
      </c>
      <c r="G78" t="s">
        <v>626</v>
      </c>
      <c r="H78" s="1"/>
      <c r="Q78" t="s">
        <v>633</v>
      </c>
    </row>
    <row r="79" spans="1:27" x14ac:dyDescent="0.25">
      <c r="A79" s="9"/>
      <c r="C79" s="1" t="s">
        <v>671</v>
      </c>
      <c r="E79" s="1" t="s">
        <v>1507</v>
      </c>
      <c r="G79" s="1"/>
      <c r="N79" s="1" t="s">
        <v>1628</v>
      </c>
      <c r="Q79" t="s">
        <v>1492</v>
      </c>
    </row>
    <row r="80" spans="1:27" x14ac:dyDescent="0.25">
      <c r="A80" s="9"/>
      <c r="C80" s="1" t="s">
        <v>1627</v>
      </c>
      <c r="E80" s="1" t="s">
        <v>1853</v>
      </c>
      <c r="G80" s="1"/>
      <c r="N80" s="1" t="s">
        <v>671</v>
      </c>
      <c r="Q80" t="s">
        <v>626</v>
      </c>
    </row>
    <row r="81" spans="1:18" x14ac:dyDescent="0.25">
      <c r="A81" s="9"/>
      <c r="C81" s="1" t="s">
        <v>668</v>
      </c>
      <c r="E81" s="1" t="s">
        <v>1628</v>
      </c>
      <c r="G81" s="1"/>
      <c r="H81" s="1"/>
      <c r="N81" s="1" t="s">
        <v>668</v>
      </c>
      <c r="Q81" t="s">
        <v>629</v>
      </c>
    </row>
    <row r="82" spans="1:18" x14ac:dyDescent="0.25">
      <c r="A82" s="9"/>
      <c r="C82" s="1" t="s">
        <v>672</v>
      </c>
      <c r="E82" s="1" t="s">
        <v>671</v>
      </c>
      <c r="N82" t="s">
        <v>1621</v>
      </c>
      <c r="R82" t="s">
        <v>2119</v>
      </c>
    </row>
    <row r="83" spans="1:18" x14ac:dyDescent="0.25">
      <c r="A83" s="9"/>
      <c r="C83" s="1" t="s">
        <v>1631</v>
      </c>
      <c r="E83" s="1" t="s">
        <v>1627</v>
      </c>
      <c r="G83">
        <f>14-2-5-2</f>
        <v>5</v>
      </c>
      <c r="H83" s="1"/>
      <c r="N83" t="s">
        <v>672</v>
      </c>
    </row>
    <row r="84" spans="1:18" x14ac:dyDescent="0.25">
      <c r="A84" s="9"/>
      <c r="C84" s="1" t="s">
        <v>1630</v>
      </c>
      <c r="E84" s="1" t="s">
        <v>668</v>
      </c>
    </row>
    <row r="85" spans="1:18" x14ac:dyDescent="0.25">
      <c r="A85" s="9"/>
      <c r="C85" s="1" t="s">
        <v>1597</v>
      </c>
      <c r="E85" s="1" t="s">
        <v>1622</v>
      </c>
      <c r="P85" t="s">
        <v>140</v>
      </c>
      <c r="Q85" t="s">
        <v>141</v>
      </c>
    </row>
    <row r="86" spans="1:18" x14ac:dyDescent="0.25">
      <c r="A86" s="9"/>
      <c r="C86" s="1" t="s">
        <v>2513</v>
      </c>
      <c r="E86" s="1" t="s">
        <v>1621</v>
      </c>
    </row>
    <row r="87" spans="1:18" x14ac:dyDescent="0.25">
      <c r="C87" s="1"/>
      <c r="E87" s="1" t="s">
        <v>1623</v>
      </c>
      <c r="P87" t="s">
        <v>633</v>
      </c>
      <c r="Q87" t="s">
        <v>629</v>
      </c>
    </row>
    <row r="88" spans="1:18" x14ac:dyDescent="0.25">
      <c r="A88" s="9"/>
      <c r="C88" s="1"/>
      <c r="E88" s="1" t="s">
        <v>1626</v>
      </c>
      <c r="P88" t="s">
        <v>1492</v>
      </c>
      <c r="Q88" t="s">
        <v>2119</v>
      </c>
    </row>
    <row r="89" spans="1:18" x14ac:dyDescent="0.25">
      <c r="A89" s="9"/>
      <c r="E89" s="1" t="s">
        <v>672</v>
      </c>
      <c r="P89" t="s">
        <v>626</v>
      </c>
    </row>
    <row r="90" spans="1:18" x14ac:dyDescent="0.25">
      <c r="A90" s="9"/>
      <c r="E90" s="1" t="s">
        <v>1631</v>
      </c>
    </row>
    <row r="91" spans="1:18" x14ac:dyDescent="0.25">
      <c r="A91" s="9"/>
      <c r="E91" s="1" t="s">
        <v>1630</v>
      </c>
    </row>
    <row r="92" spans="1:18" x14ac:dyDescent="0.25">
      <c r="E92" s="1" t="s">
        <v>1852</v>
      </c>
    </row>
    <row r="93" spans="1:18" x14ac:dyDescent="0.25">
      <c r="E93" s="1" t="s">
        <v>1625</v>
      </c>
    </row>
    <row r="94" spans="1:18" x14ac:dyDescent="0.25">
      <c r="E94" s="1" t="s">
        <v>1597</v>
      </c>
    </row>
    <row r="95" spans="1:18" x14ac:dyDescent="0.25">
      <c r="E95" s="1" t="s">
        <v>2513</v>
      </c>
    </row>
    <row r="97" spans="1:14" x14ac:dyDescent="0.25">
      <c r="B97" s="9" t="s">
        <v>1078</v>
      </c>
      <c r="C97" s="9" t="s">
        <v>1801</v>
      </c>
      <c r="D97" s="9" t="s">
        <v>1598</v>
      </c>
      <c r="E97" s="9" t="s">
        <v>617</v>
      </c>
      <c r="F97" s="9" t="s">
        <v>618</v>
      </c>
      <c r="G97" s="9" t="s">
        <v>619</v>
      </c>
      <c r="H97" s="9" t="s">
        <v>1807</v>
      </c>
      <c r="I97" s="9" t="s">
        <v>31</v>
      </c>
      <c r="J97" s="9" t="s">
        <v>2441</v>
      </c>
      <c r="K97" s="9" t="s">
        <v>512</v>
      </c>
      <c r="L97" s="9" t="s">
        <v>1082</v>
      </c>
      <c r="M97" s="9" t="s">
        <v>1674</v>
      </c>
      <c r="N97" s="9"/>
    </row>
    <row r="98" spans="1:14" x14ac:dyDescent="0.25">
      <c r="B98" s="9" t="s">
        <v>819</v>
      </c>
      <c r="C98" s="9" t="s">
        <v>1756</v>
      </c>
      <c r="D98" s="9" t="s">
        <v>1761</v>
      </c>
      <c r="E98" s="9" t="s">
        <v>2515</v>
      </c>
      <c r="F98" s="9" t="s">
        <v>990</v>
      </c>
      <c r="G98" s="9" t="s">
        <v>991</v>
      </c>
      <c r="H98" s="9" t="s">
        <v>1556</v>
      </c>
      <c r="I98" s="9" t="s">
        <v>2514</v>
      </c>
      <c r="J98" s="9"/>
      <c r="K98" s="9" t="s">
        <v>992</v>
      </c>
      <c r="L98" s="9" t="s">
        <v>1762</v>
      </c>
      <c r="M98" s="9"/>
      <c r="N98" s="9"/>
    </row>
    <row r="99" spans="1:14" x14ac:dyDescent="0.25">
      <c r="B99" s="9" t="s">
        <v>1140</v>
      </c>
      <c r="C99" s="9" t="s">
        <v>797</v>
      </c>
      <c r="D99" s="9" t="s">
        <v>1795</v>
      </c>
      <c r="E99" s="9" t="s">
        <v>2516</v>
      </c>
      <c r="F99" s="9" t="s">
        <v>815</v>
      </c>
      <c r="G99" s="9" t="s">
        <v>1080</v>
      </c>
      <c r="H99" s="9"/>
      <c r="I99" s="9" t="s">
        <v>988</v>
      </c>
      <c r="J99" s="9"/>
      <c r="K99" s="9" t="s">
        <v>814</v>
      </c>
      <c r="L99" s="9" t="s">
        <v>1790</v>
      </c>
      <c r="M99" s="9"/>
      <c r="N99" s="9"/>
    </row>
    <row r="100" spans="1:14" x14ac:dyDescent="0.25">
      <c r="B100" s="9" t="s">
        <v>1079</v>
      </c>
      <c r="C100" s="9" t="s">
        <v>1141</v>
      </c>
      <c r="D100" s="9" t="s">
        <v>987</v>
      </c>
      <c r="E100" s="9" t="s">
        <v>1225</v>
      </c>
      <c r="F100" s="9" t="s">
        <v>1572</v>
      </c>
      <c r="G100" s="9" t="s">
        <v>1081</v>
      </c>
      <c r="H100" s="9"/>
      <c r="I100" s="9" t="s">
        <v>1779</v>
      </c>
      <c r="J100" s="9"/>
      <c r="K100" s="9" t="s">
        <v>1143</v>
      </c>
      <c r="L100" s="9"/>
      <c r="M100" s="9"/>
      <c r="N100" s="9"/>
    </row>
    <row r="101" spans="1:14" x14ac:dyDescent="0.25">
      <c r="B101" s="9" t="s">
        <v>1763</v>
      </c>
      <c r="C101" s="9"/>
      <c r="D101" s="9" t="s">
        <v>1757</v>
      </c>
      <c r="E101" s="9" t="s">
        <v>2517</v>
      </c>
      <c r="F101" s="9"/>
      <c r="G101" s="9" t="s">
        <v>1787</v>
      </c>
      <c r="H101" s="9"/>
      <c r="I101" s="9" t="s">
        <v>1780</v>
      </c>
      <c r="J101" s="9"/>
      <c r="K101" s="9"/>
      <c r="L101" s="9"/>
      <c r="M101" s="9"/>
      <c r="N101" s="9"/>
    </row>
    <row r="102" spans="1:14" x14ac:dyDescent="0.25">
      <c r="B102" s="9"/>
      <c r="C102" s="9"/>
      <c r="D102" s="9"/>
      <c r="E102" s="9" t="s">
        <v>2518</v>
      </c>
      <c r="F102" s="9"/>
      <c r="G102" s="9"/>
      <c r="H102" s="9"/>
      <c r="I102" s="9" t="s">
        <v>1781</v>
      </c>
      <c r="J102" s="9"/>
      <c r="K102" s="9"/>
      <c r="L102" s="9"/>
      <c r="M102" s="9"/>
      <c r="N102" s="9"/>
    </row>
    <row r="103" spans="1:14" x14ac:dyDescent="0.25">
      <c r="B103" s="9"/>
      <c r="C103" s="9"/>
      <c r="D103" s="9"/>
      <c r="E103" s="9"/>
      <c r="F103" s="9"/>
      <c r="G103" s="9"/>
      <c r="H103" s="9"/>
      <c r="I103" s="9" t="s">
        <v>1782</v>
      </c>
      <c r="J103" s="9"/>
      <c r="K103" s="9"/>
      <c r="L103" s="9"/>
      <c r="M103" s="9"/>
    </row>
    <row r="104" spans="1:14" x14ac:dyDescent="0.25">
      <c r="I104" t="s">
        <v>1783</v>
      </c>
    </row>
    <row r="105" spans="1:14" x14ac:dyDescent="0.25">
      <c r="I105" t="s">
        <v>1784</v>
      </c>
      <c r="N105">
        <f>500/6</f>
        <v>83.333333333333329</v>
      </c>
    </row>
    <row r="106" spans="1:14" x14ac:dyDescent="0.25">
      <c r="I106" t="s">
        <v>1142</v>
      </c>
      <c r="N106">
        <f>N105/2</f>
        <v>41.666666666666664</v>
      </c>
    </row>
    <row r="107" spans="1:14" x14ac:dyDescent="0.25">
      <c r="A107" t="s">
        <v>2647</v>
      </c>
    </row>
    <row r="108" spans="1:14" x14ac:dyDescent="0.25">
      <c r="A108" t="s">
        <v>2645</v>
      </c>
      <c r="B108">
        <v>13</v>
      </c>
      <c r="C108">
        <v>12</v>
      </c>
      <c r="D108">
        <v>12</v>
      </c>
      <c r="E108">
        <v>13</v>
      </c>
      <c r="F108">
        <v>13</v>
      </c>
      <c r="G108">
        <v>16</v>
      </c>
      <c r="H108">
        <v>13</v>
      </c>
      <c r="I108">
        <v>13</v>
      </c>
      <c r="J108">
        <v>13</v>
      </c>
      <c r="K108">
        <v>16</v>
      </c>
      <c r="L108">
        <v>13</v>
      </c>
      <c r="M108">
        <v>13</v>
      </c>
    </row>
    <row r="109" spans="1:14" x14ac:dyDescent="0.25">
      <c r="A109" t="s">
        <v>2637</v>
      </c>
      <c r="B109">
        <v>10</v>
      </c>
      <c r="C109">
        <v>10</v>
      </c>
      <c r="D109">
        <v>10</v>
      </c>
      <c r="E109">
        <v>11</v>
      </c>
      <c r="F109">
        <v>12</v>
      </c>
      <c r="G109">
        <v>13</v>
      </c>
      <c r="H109">
        <v>11</v>
      </c>
      <c r="I109">
        <v>11</v>
      </c>
      <c r="J109">
        <v>11</v>
      </c>
      <c r="K109">
        <v>13</v>
      </c>
      <c r="L109">
        <v>10</v>
      </c>
      <c r="M109">
        <v>10</v>
      </c>
    </row>
    <row r="110" spans="1:14" x14ac:dyDescent="0.25">
      <c r="A110" t="s">
        <v>2646</v>
      </c>
      <c r="B110">
        <v>9</v>
      </c>
      <c r="C110">
        <v>9</v>
      </c>
      <c r="D110">
        <v>9</v>
      </c>
      <c r="E110">
        <v>9</v>
      </c>
      <c r="F110">
        <v>12</v>
      </c>
      <c r="G110">
        <v>12</v>
      </c>
      <c r="H110">
        <v>11</v>
      </c>
      <c r="I110">
        <v>11</v>
      </c>
      <c r="J110">
        <v>11</v>
      </c>
      <c r="K110">
        <v>12</v>
      </c>
      <c r="L110">
        <v>9</v>
      </c>
      <c r="M110">
        <v>9</v>
      </c>
    </row>
    <row r="112" spans="1:14" x14ac:dyDescent="0.25">
      <c r="B112" s="4" t="s">
        <v>1881</v>
      </c>
      <c r="C112" s="4" t="s">
        <v>1675</v>
      </c>
      <c r="D112" s="4" t="s">
        <v>1206</v>
      </c>
      <c r="E112" s="4" t="s">
        <v>2641</v>
      </c>
      <c r="F112" s="4" t="s">
        <v>1207</v>
      </c>
      <c r="G112" s="4" t="s">
        <v>2642</v>
      </c>
      <c r="H112" s="4" t="s">
        <v>2643</v>
      </c>
      <c r="I112" s="4" t="s">
        <v>1106</v>
      </c>
      <c r="J112" s="4" t="s">
        <v>2644</v>
      </c>
      <c r="K112" s="4" t="s">
        <v>1565</v>
      </c>
    </row>
    <row r="113" spans="1:15" x14ac:dyDescent="0.25">
      <c r="B113">
        <v>10</v>
      </c>
      <c r="C113">
        <v>10</v>
      </c>
      <c r="D113">
        <v>9</v>
      </c>
      <c r="E113">
        <v>9</v>
      </c>
      <c r="F113">
        <v>9</v>
      </c>
      <c r="G113">
        <v>9</v>
      </c>
      <c r="H113">
        <v>9</v>
      </c>
      <c r="I113">
        <v>11</v>
      </c>
      <c r="J113">
        <v>9</v>
      </c>
      <c r="K113">
        <v>9</v>
      </c>
      <c r="N113">
        <f>161/6</f>
        <v>26.833333333333332</v>
      </c>
    </row>
    <row r="114" spans="1:15" x14ac:dyDescent="0.25">
      <c r="B114">
        <v>11</v>
      </c>
      <c r="C114">
        <v>13</v>
      </c>
      <c r="D114">
        <v>11</v>
      </c>
      <c r="E114">
        <v>9</v>
      </c>
      <c r="F114">
        <v>11</v>
      </c>
      <c r="G114">
        <v>9</v>
      </c>
      <c r="H114">
        <v>12</v>
      </c>
      <c r="I114">
        <v>13</v>
      </c>
      <c r="J114">
        <v>11</v>
      </c>
      <c r="K114">
        <v>13</v>
      </c>
      <c r="N114">
        <f>N113/2</f>
        <v>13.416666666666666</v>
      </c>
    </row>
    <row r="115" spans="1:15" x14ac:dyDescent="0.25">
      <c r="D115">
        <v>13</v>
      </c>
      <c r="F115">
        <v>9</v>
      </c>
    </row>
    <row r="116" spans="1:15" x14ac:dyDescent="0.25">
      <c r="A116" t="s">
        <v>2648</v>
      </c>
    </row>
    <row r="117" spans="1:15" x14ac:dyDescent="0.25">
      <c r="B117" s="1"/>
      <c r="C117" s="1"/>
      <c r="D117" s="1"/>
      <c r="E117" s="1"/>
      <c r="G117" s="1"/>
      <c r="H117" s="1"/>
      <c r="I117" s="1"/>
      <c r="J117" s="1"/>
      <c r="K117" s="1"/>
      <c r="L117" s="9"/>
      <c r="M117" s="9"/>
    </row>
    <row r="118" spans="1:15" x14ac:dyDescent="0.25">
      <c r="A118" s="4" t="s">
        <v>1881</v>
      </c>
      <c r="B118" t="s">
        <v>2656</v>
      </c>
      <c r="D118" t="s">
        <v>2649</v>
      </c>
      <c r="F118" t="s">
        <v>2664</v>
      </c>
      <c r="H118" t="s">
        <v>2663</v>
      </c>
    </row>
    <row r="119" spans="1:15" x14ac:dyDescent="0.25">
      <c r="A119" s="4" t="s">
        <v>1675</v>
      </c>
      <c r="B119" t="s">
        <v>2651</v>
      </c>
      <c r="D119" t="s">
        <v>2650</v>
      </c>
      <c r="F119" t="s">
        <v>2665</v>
      </c>
      <c r="H119" t="s">
        <v>2670</v>
      </c>
      <c r="K119" t="s">
        <v>32</v>
      </c>
      <c r="M119" t="s">
        <v>2671</v>
      </c>
    </row>
    <row r="120" spans="1:15" x14ac:dyDescent="0.25">
      <c r="A120" s="4" t="s">
        <v>2641</v>
      </c>
      <c r="B120" t="s">
        <v>2673</v>
      </c>
      <c r="D120" t="s">
        <v>2672</v>
      </c>
      <c r="F120" t="s">
        <v>2674</v>
      </c>
      <c r="H120" t="s">
        <v>2675</v>
      </c>
      <c r="K120" t="s">
        <v>2676</v>
      </c>
      <c r="N120" t="s">
        <v>2677</v>
      </c>
    </row>
    <row r="121" spans="1:15" x14ac:dyDescent="0.25">
      <c r="A121" s="4" t="s">
        <v>2642</v>
      </c>
      <c r="B121" t="s">
        <v>2653</v>
      </c>
      <c r="D121" t="s">
        <v>2652</v>
      </c>
      <c r="F121" t="s">
        <v>2678</v>
      </c>
      <c r="H121" t="s">
        <v>2679</v>
      </c>
    </row>
    <row r="122" spans="1:15" x14ac:dyDescent="0.25">
      <c r="A122" s="4" t="s">
        <v>2643</v>
      </c>
      <c r="B122" t="s">
        <v>2654</v>
      </c>
      <c r="D122" t="s">
        <v>2655</v>
      </c>
      <c r="F122" t="s">
        <v>2669</v>
      </c>
      <c r="H122" t="s">
        <v>2666</v>
      </c>
      <c r="J122" t="s">
        <v>2667</v>
      </c>
      <c r="M122" t="s">
        <v>2668</v>
      </c>
    </row>
    <row r="123" spans="1:15" x14ac:dyDescent="0.25">
      <c r="A123" s="4" t="s">
        <v>1106</v>
      </c>
      <c r="B123" t="s">
        <v>2657</v>
      </c>
      <c r="D123" t="s">
        <v>2658</v>
      </c>
      <c r="F123" t="s">
        <v>2680</v>
      </c>
      <c r="H123" t="s">
        <v>2681</v>
      </c>
      <c r="J123" t="s">
        <v>2682</v>
      </c>
    </row>
    <row r="124" spans="1:15" x14ac:dyDescent="0.25">
      <c r="A124" s="4" t="s">
        <v>2644</v>
      </c>
      <c r="B124" t="s">
        <v>2661</v>
      </c>
      <c r="D124" t="s">
        <v>2662</v>
      </c>
      <c r="F124" t="s">
        <v>2683</v>
      </c>
    </row>
    <row r="125" spans="1:15" x14ac:dyDescent="0.25">
      <c r="A125" s="4" t="s">
        <v>1565</v>
      </c>
      <c r="B125" t="s">
        <v>2659</v>
      </c>
      <c r="D125" t="s">
        <v>2660</v>
      </c>
      <c r="F125" t="s">
        <v>2686</v>
      </c>
      <c r="H125" t="s">
        <v>1672</v>
      </c>
      <c r="J125" t="s">
        <v>2687</v>
      </c>
    </row>
    <row r="127" spans="1:15" x14ac:dyDescent="0.25">
      <c r="I127" t="s">
        <v>2684</v>
      </c>
      <c r="J127" t="s">
        <v>2517</v>
      </c>
      <c r="L127" t="s">
        <v>2687</v>
      </c>
      <c r="N127" t="s">
        <v>673</v>
      </c>
    </row>
    <row r="128" spans="1:15" x14ac:dyDescent="0.25">
      <c r="I128">
        <v>9</v>
      </c>
      <c r="J128">
        <f>8</f>
        <v>8</v>
      </c>
      <c r="L128">
        <v>9</v>
      </c>
      <c r="N128">
        <v>3</v>
      </c>
      <c r="O128" t="s">
        <v>739</v>
      </c>
    </row>
    <row r="129" spans="1:15" x14ac:dyDescent="0.25">
      <c r="A129" t="s">
        <v>225</v>
      </c>
      <c r="B129">
        <v>6</v>
      </c>
      <c r="C129">
        <v>5</v>
      </c>
      <c r="D129">
        <v>4</v>
      </c>
      <c r="E129">
        <v>3</v>
      </c>
      <c r="F129">
        <v>2</v>
      </c>
      <c r="G129">
        <v>1</v>
      </c>
      <c r="I129">
        <v>-4</v>
      </c>
      <c r="J129">
        <v>-4</v>
      </c>
      <c r="K129" t="s">
        <v>925</v>
      </c>
      <c r="L129">
        <v>-4</v>
      </c>
      <c r="N129">
        <v>-2</v>
      </c>
      <c r="O129" t="s">
        <v>2362</v>
      </c>
    </row>
    <row r="130" spans="1:15" x14ac:dyDescent="0.25">
      <c r="A130" t="s">
        <v>2688</v>
      </c>
      <c r="B130">
        <f t="shared" ref="B130:G130" si="0">8/B129</f>
        <v>1.3333333333333333</v>
      </c>
      <c r="C130">
        <f t="shared" si="0"/>
        <v>1.6</v>
      </c>
      <c r="D130">
        <f t="shared" si="0"/>
        <v>2</v>
      </c>
      <c r="E130">
        <f t="shared" si="0"/>
        <v>2.6666666666666665</v>
      </c>
      <c r="F130">
        <f t="shared" si="0"/>
        <v>4</v>
      </c>
      <c r="G130">
        <f t="shared" si="0"/>
        <v>8</v>
      </c>
      <c r="I130">
        <v>-2</v>
      </c>
      <c r="J130">
        <v>-2</v>
      </c>
      <c r="K130" t="s">
        <v>907</v>
      </c>
      <c r="L130">
        <v>-2</v>
      </c>
      <c r="N130">
        <v>-1</v>
      </c>
      <c r="O130" t="s">
        <v>1600</v>
      </c>
    </row>
    <row r="131" spans="1:15" x14ac:dyDescent="0.25">
      <c r="A131" t="s">
        <v>2637</v>
      </c>
      <c r="B131">
        <f t="shared" ref="B131:G131" si="1">B130/2</f>
        <v>0.66666666666666663</v>
      </c>
      <c r="C131">
        <f t="shared" si="1"/>
        <v>0.8</v>
      </c>
      <c r="D131">
        <f t="shared" si="1"/>
        <v>1</v>
      </c>
      <c r="E131">
        <f t="shared" si="1"/>
        <v>1.3333333333333333</v>
      </c>
      <c r="F131">
        <f t="shared" si="1"/>
        <v>2</v>
      </c>
      <c r="G131">
        <f t="shared" si="1"/>
        <v>4</v>
      </c>
      <c r="I131">
        <v>-4</v>
      </c>
      <c r="J131">
        <v>-4</v>
      </c>
      <c r="K131" t="s">
        <v>155</v>
      </c>
      <c r="L131">
        <v>-4</v>
      </c>
      <c r="N131">
        <v>-1</v>
      </c>
      <c r="O131" t="s">
        <v>824</v>
      </c>
    </row>
    <row r="132" spans="1:15" x14ac:dyDescent="0.25">
      <c r="A132" t="s">
        <v>2646</v>
      </c>
      <c r="B132">
        <f t="shared" ref="B132:G132" si="2">B130/3</f>
        <v>0.44444444444444442</v>
      </c>
      <c r="C132">
        <f t="shared" si="2"/>
        <v>0.53333333333333333</v>
      </c>
      <c r="D132">
        <f t="shared" si="2"/>
        <v>0.66666666666666663</v>
      </c>
      <c r="E132">
        <f t="shared" si="2"/>
        <v>0.88888888888888884</v>
      </c>
      <c r="F132">
        <f t="shared" si="2"/>
        <v>1.3333333333333333</v>
      </c>
      <c r="G132">
        <f t="shared" si="2"/>
        <v>2.6666666666666665</v>
      </c>
      <c r="I132">
        <v>-1</v>
      </c>
      <c r="J132">
        <v>-1</v>
      </c>
      <c r="K132" t="s">
        <v>1225</v>
      </c>
      <c r="L132">
        <v>-1</v>
      </c>
      <c r="N132">
        <v>-4</v>
      </c>
      <c r="O132" t="s">
        <v>992</v>
      </c>
    </row>
    <row r="133" spans="1:15" x14ac:dyDescent="0.25">
      <c r="B133" t="s">
        <v>2706</v>
      </c>
      <c r="C133" t="s">
        <v>2696</v>
      </c>
      <c r="D133" t="s">
        <v>2690</v>
      </c>
      <c r="E133" t="s">
        <v>2689</v>
      </c>
      <c r="I133">
        <v>-1</v>
      </c>
      <c r="J133">
        <v>-1</v>
      </c>
      <c r="K133" t="s">
        <v>824</v>
      </c>
      <c r="L133">
        <v>-1</v>
      </c>
      <c r="N133">
        <v>-3</v>
      </c>
      <c r="O133" t="s">
        <v>155</v>
      </c>
    </row>
    <row r="134" spans="1:15" x14ac:dyDescent="0.25">
      <c r="C134" t="s">
        <v>2697</v>
      </c>
      <c r="D134" t="s">
        <v>2698</v>
      </c>
      <c r="H134" t="s">
        <v>2685</v>
      </c>
      <c r="I134">
        <v>-1</v>
      </c>
      <c r="J134">
        <v>-4</v>
      </c>
      <c r="K134" t="s">
        <v>2372</v>
      </c>
      <c r="L134">
        <v>-1</v>
      </c>
    </row>
    <row r="135" spans="1:15" x14ac:dyDescent="0.25">
      <c r="C135" t="s">
        <v>2700</v>
      </c>
      <c r="D135" t="s">
        <v>2691</v>
      </c>
    </row>
    <row r="136" spans="1:15" x14ac:dyDescent="0.25">
      <c r="C136" t="s">
        <v>2699</v>
      </c>
      <c r="D136" t="s">
        <v>2692</v>
      </c>
    </row>
    <row r="137" spans="1:15" x14ac:dyDescent="0.25">
      <c r="C137" t="s">
        <v>2701</v>
      </c>
      <c r="D137" t="s">
        <v>2693</v>
      </c>
      <c r="I137">
        <f>SUM(I128:I136)</f>
        <v>-4</v>
      </c>
      <c r="J137">
        <f>SUM(J128:J136)</f>
        <v>-8</v>
      </c>
      <c r="L137">
        <f>SUM(L128:L136)</f>
        <v>-4</v>
      </c>
      <c r="N137">
        <f>SUM(N128:N136)</f>
        <v>-8</v>
      </c>
    </row>
    <row r="138" spans="1:15" x14ac:dyDescent="0.25">
      <c r="C138" t="s">
        <v>2703</v>
      </c>
      <c r="D138" t="s">
        <v>2694</v>
      </c>
    </row>
    <row r="139" spans="1:15" x14ac:dyDescent="0.25">
      <c r="C139" t="s">
        <v>2710</v>
      </c>
      <c r="D139" t="s">
        <v>2695</v>
      </c>
    </row>
    <row r="140" spans="1:15" x14ac:dyDescent="0.25">
      <c r="C140" t="s">
        <v>2702</v>
      </c>
    </row>
    <row r="141" spans="1:15" x14ac:dyDescent="0.25">
      <c r="C141" t="s">
        <v>2704</v>
      </c>
    </row>
    <row r="142" spans="1:15" x14ac:dyDescent="0.25">
      <c r="C142" t="s">
        <v>2694</v>
      </c>
    </row>
    <row r="143" spans="1:15" x14ac:dyDescent="0.25">
      <c r="C143" t="s">
        <v>2705</v>
      </c>
    </row>
    <row r="145" spans="2:14" x14ac:dyDescent="0.25">
      <c r="C145" t="s">
        <v>2707</v>
      </c>
    </row>
    <row r="146" spans="2:14" x14ac:dyDescent="0.25">
      <c r="C146" t="s">
        <v>2708</v>
      </c>
    </row>
    <row r="147" spans="2:14" x14ac:dyDescent="0.25">
      <c r="C147" t="s">
        <v>2709</v>
      </c>
      <c r="H147">
        <f>13</f>
        <v>13</v>
      </c>
      <c r="I147" t="s">
        <v>212</v>
      </c>
      <c r="K147">
        <v>-1</v>
      </c>
    </row>
    <row r="148" spans="2:14" x14ac:dyDescent="0.25">
      <c r="C148" t="s">
        <v>1488</v>
      </c>
      <c r="H148">
        <v>-3</v>
      </c>
      <c r="I148" t="s">
        <v>155</v>
      </c>
      <c r="K148">
        <v>-4</v>
      </c>
      <c r="L148" t="s">
        <v>155</v>
      </c>
    </row>
    <row r="149" spans="2:14" x14ac:dyDescent="0.25">
      <c r="C149" t="s">
        <v>2497</v>
      </c>
      <c r="H149">
        <v>-1</v>
      </c>
      <c r="I149" t="s">
        <v>1600</v>
      </c>
      <c r="K149">
        <v>-1</v>
      </c>
      <c r="L149" t="s">
        <v>1600</v>
      </c>
    </row>
    <row r="150" spans="2:14" x14ac:dyDescent="0.25">
      <c r="C150" t="s">
        <v>2705</v>
      </c>
      <c r="H150">
        <v>-2</v>
      </c>
      <c r="I150" t="s">
        <v>2362</v>
      </c>
      <c r="K150">
        <v>-2</v>
      </c>
      <c r="L150" t="s">
        <v>2362</v>
      </c>
    </row>
    <row r="151" spans="2:14" x14ac:dyDescent="0.25">
      <c r="B151" t="s">
        <v>552</v>
      </c>
      <c r="H151">
        <v>-1</v>
      </c>
      <c r="I151" t="s">
        <v>824</v>
      </c>
      <c r="K151">
        <v>-1</v>
      </c>
      <c r="L151" t="s">
        <v>824</v>
      </c>
    </row>
    <row r="152" spans="2:14" x14ac:dyDescent="0.25">
      <c r="B152" t="s">
        <v>630</v>
      </c>
      <c r="H152">
        <v>-1</v>
      </c>
      <c r="I152" t="s">
        <v>1540</v>
      </c>
      <c r="K152">
        <v>-1</v>
      </c>
      <c r="L152" t="s">
        <v>1540</v>
      </c>
    </row>
    <row r="153" spans="2:14" x14ac:dyDescent="0.25">
      <c r="B153" t="s">
        <v>2712</v>
      </c>
      <c r="H153">
        <v>-2</v>
      </c>
      <c r="I153" t="s">
        <v>75</v>
      </c>
      <c r="L153" t="s">
        <v>75</v>
      </c>
    </row>
    <row r="154" spans="2:14" x14ac:dyDescent="0.25">
      <c r="B154" s="1" t="s">
        <v>1488</v>
      </c>
    </row>
    <row r="155" spans="2:14" x14ac:dyDescent="0.25">
      <c r="B155" s="1" t="s">
        <v>2711</v>
      </c>
    </row>
    <row r="156" spans="2:14" x14ac:dyDescent="0.25">
      <c r="B156" t="s">
        <v>2713</v>
      </c>
    </row>
    <row r="157" spans="2:14" x14ac:dyDescent="0.25">
      <c r="B157" t="s">
        <v>2714</v>
      </c>
      <c r="H157">
        <f>SUM(H147:H156)</f>
        <v>3</v>
      </c>
      <c r="K157">
        <f>SUM(K147:K156)</f>
        <v>-10</v>
      </c>
    </row>
    <row r="158" spans="2:14" x14ac:dyDescent="0.25">
      <c r="B158" t="s">
        <v>2715</v>
      </c>
    </row>
    <row r="159" spans="2:14" x14ac:dyDescent="0.25">
      <c r="N159" t="s">
        <v>2717</v>
      </c>
    </row>
    <row r="160" spans="2:14" x14ac:dyDescent="0.25">
      <c r="N160" t="s">
        <v>2718</v>
      </c>
    </row>
    <row r="161" spans="3:17" x14ac:dyDescent="0.25">
      <c r="C161" s="1" t="s">
        <v>2711</v>
      </c>
      <c r="F161">
        <f>1+0.5+0.5+0.5</f>
        <v>2.5</v>
      </c>
      <c r="I161" t="s">
        <v>1212</v>
      </c>
      <c r="L161" t="s">
        <v>2718</v>
      </c>
      <c r="N161" t="s">
        <v>2719</v>
      </c>
    </row>
    <row r="162" spans="3:17" x14ac:dyDescent="0.25">
      <c r="C162" t="s">
        <v>2716</v>
      </c>
      <c r="I162" t="s">
        <v>1845</v>
      </c>
      <c r="L162" t="s">
        <v>2717</v>
      </c>
      <c r="N162" t="s">
        <v>2720</v>
      </c>
    </row>
    <row r="163" spans="3:17" x14ac:dyDescent="0.25">
      <c r="C163" t="s">
        <v>2539</v>
      </c>
      <c r="I163" t="s">
        <v>1238</v>
      </c>
      <c r="L163" t="s">
        <v>2721</v>
      </c>
      <c r="N163" t="s">
        <v>2721</v>
      </c>
    </row>
    <row r="164" spans="3:17" x14ac:dyDescent="0.25">
      <c r="I164" t="s">
        <v>1799</v>
      </c>
      <c r="L164" t="s">
        <v>2722</v>
      </c>
      <c r="N164" t="s">
        <v>2722</v>
      </c>
    </row>
    <row r="165" spans="3:17" x14ac:dyDescent="0.25">
      <c r="N165" t="s">
        <v>2723</v>
      </c>
    </row>
    <row r="166" spans="3:17" x14ac:dyDescent="0.25">
      <c r="E166" s="9"/>
      <c r="G166" t="s">
        <v>2529</v>
      </c>
      <c r="N166" t="s">
        <v>2724</v>
      </c>
    </row>
    <row r="167" spans="3:17" x14ac:dyDescent="0.25">
      <c r="E167" s="9"/>
      <c r="N167" t="s">
        <v>2725</v>
      </c>
    </row>
    <row r="168" spans="3:17" x14ac:dyDescent="0.25">
      <c r="E168" s="9"/>
      <c r="G168" t="s">
        <v>2717</v>
      </c>
      <c r="H168" t="s">
        <v>2726</v>
      </c>
      <c r="I168" t="s">
        <v>1212</v>
      </c>
      <c r="L168" t="s">
        <v>2731</v>
      </c>
      <c r="O168">
        <f>(2+0.5+0.5)*(3.5+2+8+2+5)+(4.5+2+5)</f>
        <v>73</v>
      </c>
    </row>
    <row r="169" spans="3:17" x14ac:dyDescent="0.25">
      <c r="E169" s="9"/>
      <c r="G169" t="s">
        <v>2718</v>
      </c>
      <c r="H169" t="s">
        <v>2732</v>
      </c>
      <c r="I169" t="s">
        <v>1845</v>
      </c>
      <c r="L169" t="s">
        <v>2730</v>
      </c>
    </row>
    <row r="170" spans="3:17" x14ac:dyDescent="0.25">
      <c r="E170" s="9"/>
      <c r="F170" s="9"/>
      <c r="G170" s="9" t="s">
        <v>2721</v>
      </c>
      <c r="H170" s="9" t="s">
        <v>2733</v>
      </c>
      <c r="I170" t="s">
        <v>1238</v>
      </c>
      <c r="O170" s="9"/>
      <c r="P170" s="9"/>
    </row>
    <row r="171" spans="3:17" x14ac:dyDescent="0.25">
      <c r="E171" s="9"/>
      <c r="F171" s="9"/>
      <c r="G171" t="s">
        <v>2724</v>
      </c>
      <c r="H171" t="s">
        <v>2735</v>
      </c>
      <c r="I171" s="9" t="s">
        <v>1494</v>
      </c>
      <c r="K171" s="9"/>
      <c r="L171" t="s">
        <v>2729</v>
      </c>
      <c r="O171" s="9">
        <f>(2+0.5+0.5)*(5.5+3+2+5)+(3.5+2+5)</f>
        <v>57</v>
      </c>
      <c r="P171" s="9">
        <f>(1+0.5+0.5+0.5)*(5.5+4+2+9)</f>
        <v>51.25</v>
      </c>
    </row>
    <row r="172" spans="3:17" x14ac:dyDescent="0.25">
      <c r="E172" s="9"/>
      <c r="G172" s="9" t="s">
        <v>2722</v>
      </c>
      <c r="H172" t="s">
        <v>2734</v>
      </c>
      <c r="I172" t="s">
        <v>2727</v>
      </c>
      <c r="K172" s="9"/>
      <c r="L172" t="s">
        <v>2728</v>
      </c>
      <c r="M172" s="9"/>
      <c r="N172" s="9"/>
      <c r="O172" s="9">
        <f>(1+0.5+0.5+0.5)*(2.5+3+5+1+9)</f>
        <v>51.25</v>
      </c>
      <c r="P172" s="9">
        <f>(3.5+4+3+5+9)*(1+0.5+0.5+0.5)</f>
        <v>61.25</v>
      </c>
      <c r="Q172" s="9">
        <f>(1+0.5+0.5+0.5)*(2.5+2+5+1+14+1)</f>
        <v>63.75</v>
      </c>
    </row>
    <row r="173" spans="3:17" x14ac:dyDescent="0.25">
      <c r="E173" s="9"/>
      <c r="F173" s="9"/>
      <c r="J173" s="9"/>
      <c r="K173" s="9"/>
      <c r="M173" s="9"/>
      <c r="N173" s="9"/>
      <c r="O173" s="9"/>
      <c r="P173" s="9"/>
    </row>
    <row r="174" spans="3:17" x14ac:dyDescent="0.25">
      <c r="E174" s="9"/>
      <c r="F174" s="9"/>
      <c r="G174" s="9"/>
      <c r="K174" s="9"/>
      <c r="L174" s="9">
        <f>(2.5+2+2.5+1+14+3+5)*(1+0.5+0.5+0.5)</f>
        <v>75</v>
      </c>
      <c r="M174" s="9">
        <f>(2.5+2+2.5+1+7+3+5)*(1+0.5+0.5+0.5)</f>
        <v>57.5</v>
      </c>
      <c r="N174" s="9"/>
      <c r="O174" s="9"/>
      <c r="P174" s="9"/>
    </row>
    <row r="175" spans="3:17" x14ac:dyDescent="0.25">
      <c r="E175" s="9"/>
      <c r="F175" s="9"/>
      <c r="G175" s="9"/>
      <c r="J175" s="9"/>
      <c r="K175" s="9"/>
      <c r="L175" s="9">
        <f>(3.5+4+3+2+14)*(1+0.5+0.5+0.5)</f>
        <v>66.25</v>
      </c>
      <c r="M175" s="9"/>
      <c r="N175" s="9"/>
      <c r="O175" s="9"/>
      <c r="P175" s="9"/>
    </row>
    <row r="176" spans="3:17" x14ac:dyDescent="0.25">
      <c r="E176" s="9"/>
      <c r="I176" t="s">
        <v>2117</v>
      </c>
    </row>
    <row r="177" spans="5:9" x14ac:dyDescent="0.25">
      <c r="E177" s="9"/>
      <c r="I177" s="9" t="s">
        <v>2413</v>
      </c>
    </row>
    <row r="178" spans="5:9" x14ac:dyDescent="0.25">
      <c r="E178" s="9"/>
      <c r="I178" s="9" t="s">
        <v>1488</v>
      </c>
    </row>
    <row r="179" spans="5:9" x14ac:dyDescent="0.25">
      <c r="E179" s="9"/>
    </row>
    <row r="180" spans="5:9" x14ac:dyDescent="0.25">
      <c r="E180" s="9"/>
    </row>
    <row r="181" spans="5:9" x14ac:dyDescent="0.25">
      <c r="E181" s="9"/>
    </row>
  </sheetData>
  <sortState ref="F2:F29">
    <sortCondition ref="F72"/>
  </sortState>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AC80"/>
  <sheetViews>
    <sheetView topLeftCell="A55" workbookViewId="0">
      <selection activeCell="D66" sqref="D66"/>
    </sheetView>
  </sheetViews>
  <sheetFormatPr defaultRowHeight="15" x14ac:dyDescent="0.25"/>
  <cols>
    <col min="18" max="18" width="10.42578125" customWidth="1"/>
    <col min="34" max="34" width="14.28515625" customWidth="1"/>
  </cols>
  <sheetData>
    <row r="1" spans="1:24" x14ac:dyDescent="0.25">
      <c r="K1" t="s">
        <v>407</v>
      </c>
      <c r="U1" t="s">
        <v>2211</v>
      </c>
      <c r="W1" t="s">
        <v>1572</v>
      </c>
    </row>
    <row r="2" spans="1:24" x14ac:dyDescent="0.25">
      <c r="A2" t="s">
        <v>2148</v>
      </c>
      <c r="B2" t="s">
        <v>2039</v>
      </c>
      <c r="D2">
        <v>-2</v>
      </c>
      <c r="E2" t="s">
        <v>1126</v>
      </c>
      <c r="F2" t="s">
        <v>821</v>
      </c>
      <c r="G2" t="s">
        <v>497</v>
      </c>
      <c r="H2" t="s">
        <v>2149</v>
      </c>
      <c r="I2" t="s">
        <v>2150</v>
      </c>
      <c r="K2" t="s">
        <v>1520</v>
      </c>
    </row>
    <row r="3" spans="1:24" x14ac:dyDescent="0.25">
      <c r="A3" t="s">
        <v>2151</v>
      </c>
      <c r="B3" t="s">
        <v>2152</v>
      </c>
      <c r="D3">
        <v>-4</v>
      </c>
      <c r="E3" t="s">
        <v>1126</v>
      </c>
      <c r="F3" t="s">
        <v>821</v>
      </c>
      <c r="G3" t="s">
        <v>497</v>
      </c>
      <c r="K3" t="s">
        <v>2153</v>
      </c>
      <c r="Q3" t="s">
        <v>212</v>
      </c>
      <c r="S3">
        <v>10</v>
      </c>
      <c r="T3">
        <v>10</v>
      </c>
      <c r="U3">
        <v>10</v>
      </c>
      <c r="V3">
        <v>10</v>
      </c>
      <c r="W3">
        <v>10</v>
      </c>
      <c r="X3">
        <v>10</v>
      </c>
    </row>
    <row r="4" spans="1:24" x14ac:dyDescent="0.25">
      <c r="A4" t="s">
        <v>2154</v>
      </c>
      <c r="B4" t="s">
        <v>2155</v>
      </c>
      <c r="D4">
        <v>-2</v>
      </c>
      <c r="E4" t="s">
        <v>1126</v>
      </c>
      <c r="F4" t="s">
        <v>821</v>
      </c>
      <c r="G4" t="s">
        <v>2156</v>
      </c>
      <c r="K4" t="s">
        <v>1520</v>
      </c>
      <c r="L4" t="s">
        <v>2169</v>
      </c>
      <c r="Q4" t="s">
        <v>1821</v>
      </c>
      <c r="S4">
        <v>-4</v>
      </c>
      <c r="T4">
        <v>-8</v>
      </c>
    </row>
    <row r="5" spans="1:24" x14ac:dyDescent="0.25">
      <c r="A5" t="s">
        <v>2157</v>
      </c>
      <c r="B5" t="s">
        <v>2158</v>
      </c>
      <c r="D5">
        <v>2</v>
      </c>
      <c r="E5" t="s">
        <v>1126</v>
      </c>
      <c r="F5" t="s">
        <v>821</v>
      </c>
      <c r="G5">
        <v>4</v>
      </c>
      <c r="H5" t="s">
        <v>155</v>
      </c>
      <c r="I5" t="s">
        <v>1242</v>
      </c>
      <c r="J5" t="s">
        <v>2159</v>
      </c>
      <c r="Q5" t="s">
        <v>922</v>
      </c>
      <c r="S5">
        <v>-9</v>
      </c>
      <c r="U5">
        <v>-5</v>
      </c>
      <c r="V5">
        <v>-7</v>
      </c>
      <c r="W5">
        <v>-14</v>
      </c>
      <c r="X5">
        <v>-9</v>
      </c>
    </row>
    <row r="6" spans="1:24" x14ac:dyDescent="0.25">
      <c r="A6" t="s">
        <v>2160</v>
      </c>
      <c r="B6" t="s">
        <v>2161</v>
      </c>
      <c r="D6">
        <v>4</v>
      </c>
      <c r="E6" t="s">
        <v>1126</v>
      </c>
    </row>
    <row r="7" spans="1:24" x14ac:dyDescent="0.25">
      <c r="A7" t="s">
        <v>2162</v>
      </c>
      <c r="B7" t="s">
        <v>2163</v>
      </c>
      <c r="D7">
        <v>4</v>
      </c>
      <c r="E7" t="s">
        <v>1126</v>
      </c>
      <c r="L7" t="s">
        <v>2164</v>
      </c>
    </row>
    <row r="8" spans="1:24" x14ac:dyDescent="0.25">
      <c r="A8" t="s">
        <v>2165</v>
      </c>
      <c r="B8" t="s">
        <v>2166</v>
      </c>
      <c r="D8">
        <v>-2</v>
      </c>
      <c r="E8" t="s">
        <v>1126</v>
      </c>
      <c r="F8">
        <v>-10</v>
      </c>
      <c r="G8" t="s">
        <v>2167</v>
      </c>
      <c r="Q8" t="s">
        <v>682</v>
      </c>
      <c r="S8">
        <v>-3</v>
      </c>
      <c r="T8">
        <v>-3</v>
      </c>
    </row>
    <row r="9" spans="1:24" x14ac:dyDescent="0.25">
      <c r="A9" t="s">
        <v>2168</v>
      </c>
      <c r="D9">
        <v>-2</v>
      </c>
      <c r="E9" t="s">
        <v>1126</v>
      </c>
      <c r="F9" t="s">
        <v>821</v>
      </c>
      <c r="G9" t="s">
        <v>497</v>
      </c>
      <c r="H9" t="s">
        <v>2149</v>
      </c>
      <c r="L9">
        <v>30</v>
      </c>
      <c r="Q9" t="s">
        <v>1480</v>
      </c>
      <c r="S9">
        <v>-10</v>
      </c>
    </row>
    <row r="10" spans="1:24" x14ac:dyDescent="0.25">
      <c r="A10" t="s">
        <v>2171</v>
      </c>
      <c r="D10">
        <v>-2</v>
      </c>
      <c r="E10" t="s">
        <v>1126</v>
      </c>
      <c r="F10" t="s">
        <v>821</v>
      </c>
      <c r="G10" t="s">
        <v>2170</v>
      </c>
      <c r="K10" t="s">
        <v>804</v>
      </c>
      <c r="L10">
        <v>12</v>
      </c>
      <c r="Q10" t="s">
        <v>830</v>
      </c>
      <c r="S10">
        <v>-4</v>
      </c>
      <c r="T10">
        <v>-4</v>
      </c>
      <c r="U10">
        <v>-2</v>
      </c>
      <c r="V10">
        <v>-4</v>
      </c>
      <c r="W10">
        <v>-4</v>
      </c>
      <c r="X10">
        <v>-5</v>
      </c>
    </row>
    <row r="11" spans="1:24" x14ac:dyDescent="0.25">
      <c r="A11" t="s">
        <v>2172</v>
      </c>
      <c r="D11" t="s">
        <v>2007</v>
      </c>
      <c r="K11" t="s">
        <v>800</v>
      </c>
      <c r="L11">
        <v>6</v>
      </c>
      <c r="N11">
        <f>17*0.6</f>
        <v>10.199999999999999</v>
      </c>
      <c r="Q11" t="s">
        <v>1822</v>
      </c>
      <c r="S11">
        <v>-2</v>
      </c>
    </row>
    <row r="12" spans="1:24" x14ac:dyDescent="0.25">
      <c r="A12" t="s">
        <v>2173</v>
      </c>
      <c r="D12">
        <v>-2</v>
      </c>
      <c r="E12" t="s">
        <v>1126</v>
      </c>
      <c r="G12" t="s">
        <v>2174</v>
      </c>
      <c r="K12" t="s">
        <v>801</v>
      </c>
      <c r="L12">
        <v>6</v>
      </c>
      <c r="N12">
        <f>16*0.6</f>
        <v>9.6</v>
      </c>
      <c r="Q12" t="s">
        <v>1081</v>
      </c>
      <c r="S12">
        <v>-3</v>
      </c>
    </row>
    <row r="13" spans="1:24" x14ac:dyDescent="0.25">
      <c r="A13" t="s">
        <v>2175</v>
      </c>
      <c r="D13" t="s">
        <v>834</v>
      </c>
      <c r="L13">
        <v>24</v>
      </c>
      <c r="Q13" t="s">
        <v>640</v>
      </c>
      <c r="S13">
        <v>-1</v>
      </c>
      <c r="T13">
        <v>-1</v>
      </c>
      <c r="X13">
        <v>-1</v>
      </c>
    </row>
    <row r="14" spans="1:24" x14ac:dyDescent="0.25">
      <c r="A14" t="s">
        <v>2176</v>
      </c>
      <c r="D14">
        <v>0.5</v>
      </c>
      <c r="F14" t="s">
        <v>509</v>
      </c>
      <c r="G14">
        <v>-4</v>
      </c>
      <c r="H14" t="s">
        <v>2149</v>
      </c>
      <c r="L14">
        <v>6</v>
      </c>
    </row>
    <row r="15" spans="1:24" x14ac:dyDescent="0.25">
      <c r="A15" t="s">
        <v>2177</v>
      </c>
      <c r="D15">
        <v>4</v>
      </c>
      <c r="E15" t="s">
        <v>497</v>
      </c>
      <c r="F15" t="s">
        <v>821</v>
      </c>
      <c r="G15">
        <v>-2</v>
      </c>
      <c r="H15" t="s">
        <v>1126</v>
      </c>
      <c r="I15" t="s">
        <v>2178</v>
      </c>
      <c r="L15">
        <v>6</v>
      </c>
      <c r="Q15" t="s">
        <v>647</v>
      </c>
      <c r="S15">
        <v>-2</v>
      </c>
      <c r="T15">
        <v>-4</v>
      </c>
    </row>
    <row r="16" spans="1:24" x14ac:dyDescent="0.25">
      <c r="A16" t="s">
        <v>2179</v>
      </c>
      <c r="D16" t="s">
        <v>2012</v>
      </c>
      <c r="K16" t="s">
        <v>800</v>
      </c>
      <c r="L16">
        <v>6</v>
      </c>
      <c r="Q16" t="s">
        <v>513</v>
      </c>
      <c r="S16">
        <v>-4</v>
      </c>
      <c r="U16">
        <v>-4</v>
      </c>
      <c r="V16">
        <v>-6</v>
      </c>
      <c r="W16">
        <v>-8</v>
      </c>
      <c r="X16">
        <v>-8</v>
      </c>
    </row>
    <row r="17" spans="1:29" x14ac:dyDescent="0.25">
      <c r="A17" t="s">
        <v>2180</v>
      </c>
      <c r="D17" t="s">
        <v>2014</v>
      </c>
      <c r="K17" t="s">
        <v>801</v>
      </c>
    </row>
    <row r="18" spans="1:29" x14ac:dyDescent="0.25">
      <c r="A18" t="s">
        <v>2181</v>
      </c>
      <c r="D18">
        <v>1</v>
      </c>
      <c r="E18" t="s">
        <v>497</v>
      </c>
      <c r="F18" t="s">
        <v>821</v>
      </c>
      <c r="G18" t="s">
        <v>2024</v>
      </c>
      <c r="L18">
        <v>6</v>
      </c>
      <c r="M18" t="s">
        <v>137</v>
      </c>
      <c r="Q18" t="s">
        <v>644</v>
      </c>
      <c r="S18">
        <v>-1</v>
      </c>
      <c r="T18">
        <v>-1</v>
      </c>
      <c r="W18">
        <v>-1</v>
      </c>
    </row>
    <row r="19" spans="1:29" x14ac:dyDescent="0.25">
      <c r="A19" t="s">
        <v>2182</v>
      </c>
      <c r="D19">
        <v>2</v>
      </c>
      <c r="E19" t="s">
        <v>1126</v>
      </c>
      <c r="Q19" t="s">
        <v>810</v>
      </c>
      <c r="S19">
        <v>-1</v>
      </c>
    </row>
    <row r="20" spans="1:29" x14ac:dyDescent="0.25">
      <c r="A20" t="s">
        <v>2183</v>
      </c>
      <c r="D20">
        <v>-2</v>
      </c>
      <c r="E20" t="s">
        <v>1126</v>
      </c>
      <c r="F20" t="s">
        <v>821</v>
      </c>
      <c r="G20" t="s">
        <v>2170</v>
      </c>
      <c r="Q20" t="s">
        <v>1827</v>
      </c>
      <c r="S20">
        <v>-1</v>
      </c>
      <c r="T20">
        <v>-2</v>
      </c>
      <c r="W20">
        <v>-2</v>
      </c>
      <c r="X20">
        <v>-2</v>
      </c>
    </row>
    <row r="21" spans="1:29" x14ac:dyDescent="0.25">
      <c r="A21" t="s">
        <v>2184</v>
      </c>
      <c r="D21">
        <v>-1</v>
      </c>
      <c r="E21" t="s">
        <v>155</v>
      </c>
      <c r="F21" t="s">
        <v>1241</v>
      </c>
      <c r="K21" t="s">
        <v>801</v>
      </c>
      <c r="L21">
        <v>30</v>
      </c>
      <c r="Q21" t="s">
        <v>641</v>
      </c>
      <c r="S21">
        <v>-2</v>
      </c>
    </row>
    <row r="22" spans="1:29" x14ac:dyDescent="0.25">
      <c r="A22" t="s">
        <v>2185</v>
      </c>
      <c r="D22" t="s">
        <v>2007</v>
      </c>
      <c r="E22" t="s">
        <v>2186</v>
      </c>
      <c r="K22" t="s">
        <v>804</v>
      </c>
      <c r="L22">
        <v>6</v>
      </c>
      <c r="Q22" t="s">
        <v>642</v>
      </c>
      <c r="S22">
        <v>-1</v>
      </c>
      <c r="T22">
        <v>-1</v>
      </c>
      <c r="W22">
        <v>-1</v>
      </c>
    </row>
    <row r="23" spans="1:29" x14ac:dyDescent="0.25">
      <c r="A23" t="s">
        <v>2187</v>
      </c>
      <c r="D23" t="s">
        <v>2006</v>
      </c>
      <c r="K23" t="s">
        <v>801</v>
      </c>
      <c r="L23">
        <v>12</v>
      </c>
      <c r="Q23" t="s">
        <v>1589</v>
      </c>
      <c r="S23">
        <v>-2</v>
      </c>
    </row>
    <row r="24" spans="1:29" x14ac:dyDescent="0.25">
      <c r="A24" t="s">
        <v>2188</v>
      </c>
      <c r="D24" t="s">
        <v>851</v>
      </c>
      <c r="K24" t="s">
        <v>2189</v>
      </c>
      <c r="L24">
        <v>3600000</v>
      </c>
      <c r="Q24" t="s">
        <v>1825</v>
      </c>
      <c r="S24">
        <v>-7</v>
      </c>
    </row>
    <row r="25" spans="1:29" x14ac:dyDescent="0.25">
      <c r="A25" t="s">
        <v>2190</v>
      </c>
      <c r="D25" t="s">
        <v>2012</v>
      </c>
      <c r="K25" t="s">
        <v>801</v>
      </c>
      <c r="L25">
        <v>6</v>
      </c>
      <c r="AA25">
        <f>26*3</f>
        <v>78</v>
      </c>
      <c r="AC25">
        <f>(2.5+2+6+3+1)*(2+1+1)</f>
        <v>58</v>
      </c>
    </row>
    <row r="26" spans="1:29" x14ac:dyDescent="0.25">
      <c r="Q26" t="s">
        <v>834</v>
      </c>
      <c r="S26">
        <v>4</v>
      </c>
      <c r="X26">
        <v>-1</v>
      </c>
      <c r="AA26">
        <f>4*3</f>
        <v>12</v>
      </c>
    </row>
    <row r="27" spans="1:29" x14ac:dyDescent="0.25">
      <c r="Q27" t="s">
        <v>1453</v>
      </c>
      <c r="S27">
        <v>-1</v>
      </c>
      <c r="T27">
        <v>-1</v>
      </c>
      <c r="AA27">
        <f>2</f>
        <v>2</v>
      </c>
    </row>
    <row r="28" spans="1:29" x14ac:dyDescent="0.25">
      <c r="C28" t="s">
        <v>2291</v>
      </c>
      <c r="Q28" t="s">
        <v>1880</v>
      </c>
      <c r="S28">
        <v>-2</v>
      </c>
      <c r="AA28">
        <f>6</f>
        <v>6</v>
      </c>
    </row>
    <row r="29" spans="1:29" x14ac:dyDescent="0.25">
      <c r="C29" t="s">
        <v>2292</v>
      </c>
      <c r="J29" t="s">
        <v>1301</v>
      </c>
    </row>
    <row r="30" spans="1:29" x14ac:dyDescent="0.25">
      <c r="C30" t="s">
        <v>2293</v>
      </c>
      <c r="H30">
        <f>11-5-2-3</f>
        <v>1</v>
      </c>
      <c r="J30" t="s">
        <v>1300</v>
      </c>
      <c r="AA30" t="s">
        <v>2212</v>
      </c>
    </row>
    <row r="31" spans="1:29" x14ac:dyDescent="0.25">
      <c r="C31" t="s">
        <v>2294</v>
      </c>
      <c r="J31" t="s">
        <v>1296</v>
      </c>
      <c r="Q31" t="s">
        <v>1826</v>
      </c>
      <c r="S31">
        <v>-2</v>
      </c>
      <c r="T31">
        <v>-2</v>
      </c>
      <c r="W31">
        <v>-2</v>
      </c>
      <c r="AA31" t="s">
        <v>1196</v>
      </c>
    </row>
    <row r="32" spans="1:29" x14ac:dyDescent="0.25">
      <c r="C32" t="s">
        <v>2295</v>
      </c>
      <c r="Q32" t="s">
        <v>1879</v>
      </c>
      <c r="S32">
        <v>-2</v>
      </c>
      <c r="W32">
        <v>-1</v>
      </c>
      <c r="AA32" t="s">
        <v>2213</v>
      </c>
    </row>
    <row r="33" spans="1:27" x14ac:dyDescent="0.25">
      <c r="Q33" t="s">
        <v>1823</v>
      </c>
      <c r="S33">
        <v>-4</v>
      </c>
      <c r="T33">
        <v>-4</v>
      </c>
      <c r="U33">
        <v>-4</v>
      </c>
      <c r="V33">
        <v>-4</v>
      </c>
      <c r="W33">
        <v>-5</v>
      </c>
      <c r="X33">
        <v>-5</v>
      </c>
      <c r="AA33" t="s">
        <v>1058</v>
      </c>
    </row>
    <row r="34" spans="1:27" x14ac:dyDescent="0.25">
      <c r="I34" t="s">
        <v>2303</v>
      </c>
      <c r="L34" t="s">
        <v>1623</v>
      </c>
      <c r="M34">
        <v>8</v>
      </c>
      <c r="Q34" t="s">
        <v>1824</v>
      </c>
      <c r="S34">
        <v>-6</v>
      </c>
      <c r="AA34" t="s">
        <v>1057</v>
      </c>
    </row>
    <row r="35" spans="1:27" x14ac:dyDescent="0.25">
      <c r="I35" t="s">
        <v>2304</v>
      </c>
      <c r="Q35" t="s">
        <v>1463</v>
      </c>
      <c r="S35">
        <v>-3</v>
      </c>
      <c r="T35">
        <v>-4</v>
      </c>
      <c r="W35">
        <v>-4</v>
      </c>
      <c r="X35">
        <v>-4</v>
      </c>
      <c r="AA35" t="s">
        <v>1056</v>
      </c>
    </row>
    <row r="36" spans="1:27" x14ac:dyDescent="0.25">
      <c r="I36" t="s">
        <v>1296</v>
      </c>
      <c r="L36" t="s">
        <v>670</v>
      </c>
      <c r="M36">
        <v>9</v>
      </c>
      <c r="Q36" t="s">
        <v>922</v>
      </c>
      <c r="S36">
        <v>-3</v>
      </c>
      <c r="AA36" t="s">
        <v>2214</v>
      </c>
    </row>
    <row r="37" spans="1:27" x14ac:dyDescent="0.25">
      <c r="I37" t="s">
        <v>2299</v>
      </c>
      <c r="L37" t="s">
        <v>1622</v>
      </c>
      <c r="M37" t="s">
        <v>2305</v>
      </c>
      <c r="S37">
        <f t="shared" ref="S37:X37" si="0">SUM(S3:S36)</f>
        <v>-66</v>
      </c>
      <c r="T37">
        <f t="shared" si="0"/>
        <v>-25</v>
      </c>
      <c r="U37">
        <f t="shared" si="0"/>
        <v>-5</v>
      </c>
      <c r="V37">
        <f t="shared" si="0"/>
        <v>-11</v>
      </c>
      <c r="W37">
        <f t="shared" si="0"/>
        <v>-32</v>
      </c>
      <c r="X37">
        <f t="shared" si="0"/>
        <v>-25</v>
      </c>
      <c r="AA37" t="s">
        <v>1930</v>
      </c>
    </row>
    <row r="38" spans="1:27" x14ac:dyDescent="0.25">
      <c r="I38" t="s">
        <v>1300</v>
      </c>
      <c r="L38" t="s">
        <v>667</v>
      </c>
      <c r="M38">
        <v>10</v>
      </c>
      <c r="AA38" t="s">
        <v>866</v>
      </c>
    </row>
    <row r="39" spans="1:27" x14ac:dyDescent="0.25">
      <c r="U39" t="s">
        <v>1845</v>
      </c>
    </row>
    <row r="40" spans="1:27" x14ac:dyDescent="0.25">
      <c r="U40" t="s">
        <v>1845</v>
      </c>
      <c r="AA40" t="s">
        <v>733</v>
      </c>
    </row>
    <row r="41" spans="1:27" x14ac:dyDescent="0.25">
      <c r="A41" t="s">
        <v>1081</v>
      </c>
      <c r="B41" t="s">
        <v>992</v>
      </c>
      <c r="C41" t="s">
        <v>617</v>
      </c>
      <c r="D41" t="s">
        <v>618</v>
      </c>
      <c r="L41">
        <f>40+20+10+10</f>
        <v>80</v>
      </c>
      <c r="U41" t="s">
        <v>2191</v>
      </c>
      <c r="Y41">
        <f>17-4-30-4</f>
        <v>-21</v>
      </c>
      <c r="AA41" t="s">
        <v>2215</v>
      </c>
    </row>
    <row r="42" spans="1:27" x14ac:dyDescent="0.25">
      <c r="A42">
        <v>1</v>
      </c>
      <c r="B42">
        <v>1</v>
      </c>
      <c r="C42">
        <v>1</v>
      </c>
      <c r="D42">
        <v>4</v>
      </c>
      <c r="E42" t="s">
        <v>212</v>
      </c>
      <c r="U42" t="s">
        <v>2191</v>
      </c>
      <c r="AA42" t="s">
        <v>1060</v>
      </c>
    </row>
    <row r="43" spans="1:27" x14ac:dyDescent="0.25">
      <c r="E43" t="s">
        <v>634</v>
      </c>
      <c r="H43">
        <f>40+20+10+10+20</f>
        <v>100</v>
      </c>
      <c r="I43">
        <f>50+25+10+10</f>
        <v>95</v>
      </c>
      <c r="J43">
        <f>20+10+10+20</f>
        <v>60</v>
      </c>
      <c r="K43">
        <f>20+10+20+10</f>
        <v>60</v>
      </c>
      <c r="U43" t="s">
        <v>1494</v>
      </c>
      <c r="AA43" t="s">
        <v>2216</v>
      </c>
    </row>
    <row r="44" spans="1:27" x14ac:dyDescent="0.25">
      <c r="E44" t="s">
        <v>1512</v>
      </c>
      <c r="U44" t="s">
        <v>1494</v>
      </c>
      <c r="AA44" t="s">
        <v>2217</v>
      </c>
    </row>
    <row r="45" spans="1:27" x14ac:dyDescent="0.25">
      <c r="A45">
        <v>-1</v>
      </c>
      <c r="B45">
        <v>-1</v>
      </c>
      <c r="C45">
        <v>-1</v>
      </c>
      <c r="D45">
        <v>-1</v>
      </c>
      <c r="E45" t="s">
        <v>1512</v>
      </c>
      <c r="G45" t="s">
        <v>1819</v>
      </c>
      <c r="R45" t="s">
        <v>800</v>
      </c>
      <c r="S45" t="s">
        <v>801</v>
      </c>
      <c r="T45" t="s">
        <v>804</v>
      </c>
    </row>
    <row r="46" spans="1:27" x14ac:dyDescent="0.25">
      <c r="A46">
        <v>-4</v>
      </c>
      <c r="B46">
        <v>-4</v>
      </c>
      <c r="C46">
        <v>-4</v>
      </c>
      <c r="D46">
        <v>-4</v>
      </c>
      <c r="E46" t="s">
        <v>811</v>
      </c>
      <c r="G46" t="s">
        <v>1296</v>
      </c>
      <c r="Q46" t="s">
        <v>682</v>
      </c>
      <c r="R46">
        <v>-3</v>
      </c>
      <c r="S46">
        <v>-3</v>
      </c>
      <c r="T46">
        <v>-3</v>
      </c>
      <c r="AA46" t="s">
        <v>1062</v>
      </c>
    </row>
    <row r="47" spans="1:27" x14ac:dyDescent="0.25">
      <c r="E47" t="s">
        <v>1225</v>
      </c>
      <c r="F47" t="s">
        <v>1849</v>
      </c>
      <c r="G47" t="s">
        <v>1301</v>
      </c>
      <c r="J47" t="s">
        <v>2333</v>
      </c>
      <c r="Q47" t="s">
        <v>1909</v>
      </c>
      <c r="R47">
        <v>-1</v>
      </c>
      <c r="S47">
        <v>-1</v>
      </c>
      <c r="T47">
        <v>-1</v>
      </c>
      <c r="AA47" t="s">
        <v>662</v>
      </c>
    </row>
    <row r="48" spans="1:27" x14ac:dyDescent="0.25">
      <c r="E48" t="s">
        <v>1661</v>
      </c>
      <c r="G48" t="s">
        <v>1293</v>
      </c>
      <c r="I48" t="s">
        <v>2334</v>
      </c>
      <c r="J48" t="s">
        <v>2335</v>
      </c>
      <c r="Q48" t="s">
        <v>2218</v>
      </c>
      <c r="R48">
        <v>-1</v>
      </c>
    </row>
    <row r="49" spans="1:23" x14ac:dyDescent="0.25">
      <c r="E49" t="s">
        <v>830</v>
      </c>
      <c r="G49" t="s">
        <v>552</v>
      </c>
      <c r="Q49" t="s">
        <v>964</v>
      </c>
      <c r="R49">
        <v>-1</v>
      </c>
      <c r="S49">
        <v>-1</v>
      </c>
      <c r="T49">
        <v>-1</v>
      </c>
      <c r="W49" t="s">
        <v>1845</v>
      </c>
    </row>
    <row r="50" spans="1:23" x14ac:dyDescent="0.25">
      <c r="A50">
        <v>-5</v>
      </c>
      <c r="E50" t="s">
        <v>818</v>
      </c>
      <c r="G50" t="s">
        <v>579</v>
      </c>
      <c r="Q50" t="s">
        <v>939</v>
      </c>
      <c r="R50">
        <v>-4</v>
      </c>
      <c r="S50">
        <v>-4</v>
      </c>
      <c r="T50">
        <v>-4</v>
      </c>
      <c r="W50" t="s">
        <v>626</v>
      </c>
    </row>
    <row r="51" spans="1:23" x14ac:dyDescent="0.25">
      <c r="A51">
        <v>-5</v>
      </c>
      <c r="B51">
        <v>-10</v>
      </c>
      <c r="C51">
        <v>-5</v>
      </c>
      <c r="D51">
        <v>-5</v>
      </c>
      <c r="E51" t="s">
        <v>637</v>
      </c>
      <c r="H51" t="s">
        <v>1847</v>
      </c>
      <c r="I51" t="s">
        <v>1183</v>
      </c>
      <c r="J51" t="s">
        <v>1181</v>
      </c>
      <c r="K51" t="s">
        <v>1182</v>
      </c>
      <c r="L51" t="s">
        <v>1847</v>
      </c>
      <c r="M51" t="s">
        <v>1847</v>
      </c>
      <c r="W51" t="s">
        <v>1492</v>
      </c>
    </row>
    <row r="52" spans="1:23" x14ac:dyDescent="0.25">
      <c r="H52" t="s">
        <v>1819</v>
      </c>
      <c r="I52" t="s">
        <v>1299</v>
      </c>
      <c r="J52" t="s">
        <v>1301</v>
      </c>
      <c r="K52" t="s">
        <v>1293</v>
      </c>
      <c r="L52" t="s">
        <v>552</v>
      </c>
      <c r="M52" t="s">
        <v>579</v>
      </c>
    </row>
    <row r="53" spans="1:23" x14ac:dyDescent="0.25">
      <c r="G53" t="s">
        <v>155</v>
      </c>
      <c r="H53">
        <v>8</v>
      </c>
      <c r="I53">
        <v>8</v>
      </c>
      <c r="J53">
        <v>10</v>
      </c>
      <c r="K53">
        <v>17</v>
      </c>
      <c r="L53">
        <v>12</v>
      </c>
      <c r="M53">
        <v>10</v>
      </c>
    </row>
    <row r="54" spans="1:23" x14ac:dyDescent="0.25">
      <c r="A54">
        <f>SUM(A42:A53)</f>
        <v>-14</v>
      </c>
      <c r="B54">
        <f>SUM(B42:B53)</f>
        <v>-14</v>
      </c>
      <c r="C54">
        <f>SUM(C42:C53)</f>
        <v>-9</v>
      </c>
      <c r="D54">
        <f>SUM(D42:D53)</f>
        <v>-6</v>
      </c>
      <c r="G54" t="s">
        <v>1241</v>
      </c>
      <c r="H54">
        <v>18</v>
      </c>
      <c r="I54">
        <v>18</v>
      </c>
      <c r="J54">
        <v>18</v>
      </c>
      <c r="K54">
        <v>19</v>
      </c>
      <c r="L54">
        <v>18</v>
      </c>
      <c r="M54">
        <v>18</v>
      </c>
    </row>
    <row r="55" spans="1:23" x14ac:dyDescent="0.25">
      <c r="G55" t="s">
        <v>1242</v>
      </c>
      <c r="H55">
        <v>16</v>
      </c>
      <c r="I55">
        <v>16</v>
      </c>
      <c r="J55">
        <v>18</v>
      </c>
      <c r="K55">
        <v>18</v>
      </c>
      <c r="L55">
        <v>16</v>
      </c>
      <c r="M55">
        <v>16</v>
      </c>
      <c r="R55">
        <f>SUM(R46:R54)</f>
        <v>-10</v>
      </c>
      <c r="S55">
        <f>SUM(S46:S54)</f>
        <v>-9</v>
      </c>
      <c r="T55">
        <f>SUM(T46:T54)</f>
        <v>-9</v>
      </c>
    </row>
    <row r="56" spans="1:23" x14ac:dyDescent="0.25">
      <c r="B56">
        <f>3-4+4-2-2-1-1-2-1</f>
        <v>-6</v>
      </c>
      <c r="G56" t="s">
        <v>1243</v>
      </c>
      <c r="H56">
        <v>11</v>
      </c>
      <c r="I56">
        <v>19</v>
      </c>
      <c r="J56">
        <v>11</v>
      </c>
      <c r="K56">
        <v>14</v>
      </c>
      <c r="L56">
        <v>18</v>
      </c>
      <c r="M56">
        <v>18</v>
      </c>
    </row>
    <row r="57" spans="1:23" x14ac:dyDescent="0.25">
      <c r="G57" t="s">
        <v>1244</v>
      </c>
      <c r="H57">
        <v>18</v>
      </c>
      <c r="I57">
        <v>17</v>
      </c>
      <c r="J57">
        <v>18</v>
      </c>
      <c r="K57">
        <v>7</v>
      </c>
      <c r="L57">
        <v>6</v>
      </c>
      <c r="M57">
        <v>6</v>
      </c>
    </row>
    <row r="58" spans="1:23" x14ac:dyDescent="0.25">
      <c r="C58">
        <f>15+15+25+30</f>
        <v>85</v>
      </c>
      <c r="G58" t="s">
        <v>1245</v>
      </c>
      <c r="H58">
        <v>15</v>
      </c>
      <c r="I58">
        <v>6</v>
      </c>
      <c r="J58">
        <v>10</v>
      </c>
      <c r="K58">
        <v>10</v>
      </c>
      <c r="L58">
        <v>15</v>
      </c>
      <c r="M58">
        <v>17</v>
      </c>
    </row>
    <row r="59" spans="1:23" x14ac:dyDescent="0.25">
      <c r="C59">
        <f>15+20+20+10</f>
        <v>65</v>
      </c>
      <c r="H59">
        <f t="shared" ref="H59:M59" si="1">SUM(H53:H58)</f>
        <v>86</v>
      </c>
      <c r="I59">
        <f t="shared" si="1"/>
        <v>84</v>
      </c>
      <c r="J59">
        <f t="shared" si="1"/>
        <v>85</v>
      </c>
      <c r="K59">
        <f t="shared" si="1"/>
        <v>85</v>
      </c>
      <c r="L59">
        <f t="shared" si="1"/>
        <v>85</v>
      </c>
      <c r="M59">
        <f t="shared" si="1"/>
        <v>85</v>
      </c>
    </row>
    <row r="62" spans="1:23" x14ac:dyDescent="0.25">
      <c r="C62" t="s">
        <v>1966</v>
      </c>
      <c r="H62" t="s">
        <v>1488</v>
      </c>
      <c r="M62" t="s">
        <v>2339</v>
      </c>
    </row>
    <row r="63" spans="1:23" x14ac:dyDescent="0.25">
      <c r="A63" s="22"/>
      <c r="G63">
        <v>1</v>
      </c>
      <c r="H63" t="s">
        <v>2341</v>
      </c>
      <c r="L63" t="s">
        <v>2337</v>
      </c>
      <c r="M63" t="s">
        <v>783</v>
      </c>
    </row>
    <row r="64" spans="1:23" x14ac:dyDescent="0.25">
      <c r="B64">
        <v>0.9</v>
      </c>
      <c r="C64">
        <v>7</v>
      </c>
      <c r="D64">
        <f>B64^C64</f>
        <v>0.47829690000000014</v>
      </c>
      <c r="H64" t="s">
        <v>2336</v>
      </c>
      <c r="L64" t="s">
        <v>2337</v>
      </c>
      <c r="M64" t="s">
        <v>916</v>
      </c>
    </row>
    <row r="65" spans="3:16" x14ac:dyDescent="0.25">
      <c r="E65" t="s">
        <v>2281</v>
      </c>
      <c r="G65">
        <v>1</v>
      </c>
      <c r="H65" t="s">
        <v>2117</v>
      </c>
      <c r="M65" t="s">
        <v>2338</v>
      </c>
    </row>
    <row r="66" spans="3:16" x14ac:dyDescent="0.25">
      <c r="G66">
        <v>2</v>
      </c>
      <c r="H66" t="s">
        <v>1238</v>
      </c>
      <c r="M66" t="s">
        <v>2340</v>
      </c>
    </row>
    <row r="67" spans="3:16" x14ac:dyDescent="0.25">
      <c r="E67" t="s">
        <v>2315</v>
      </c>
      <c r="H67" t="s">
        <v>1212</v>
      </c>
      <c r="M67" t="s">
        <v>1211</v>
      </c>
    </row>
    <row r="70" spans="3:16" x14ac:dyDescent="0.25">
      <c r="H70">
        <f>2</f>
        <v>2</v>
      </c>
      <c r="I70">
        <v>1</v>
      </c>
      <c r="K70">
        <v>0</v>
      </c>
      <c r="L70">
        <v>1</v>
      </c>
      <c r="M70">
        <v>2</v>
      </c>
      <c r="O70">
        <v>3</v>
      </c>
      <c r="P70" t="s">
        <v>824</v>
      </c>
    </row>
    <row r="71" spans="3:16" x14ac:dyDescent="0.25">
      <c r="C71">
        <f>2+14+4</f>
        <v>20</v>
      </c>
      <c r="H71">
        <f>3</f>
        <v>3</v>
      </c>
      <c r="I71">
        <v>1</v>
      </c>
      <c r="K71">
        <v>1</v>
      </c>
      <c r="L71">
        <v>2</v>
      </c>
      <c r="M71">
        <v>3</v>
      </c>
      <c r="O71">
        <v>-4</v>
      </c>
      <c r="P71" t="s">
        <v>1241</v>
      </c>
    </row>
    <row r="72" spans="3:16" x14ac:dyDescent="0.25">
      <c r="C72">
        <f>5.5+3+5+10+4+5</f>
        <v>32.5</v>
      </c>
      <c r="H72">
        <f>4</f>
        <v>4</v>
      </c>
      <c r="I72">
        <v>1</v>
      </c>
      <c r="K72">
        <v>2</v>
      </c>
      <c r="L72">
        <v>3</v>
      </c>
      <c r="M72">
        <v>4</v>
      </c>
      <c r="P72" t="s">
        <v>642</v>
      </c>
    </row>
    <row r="73" spans="3:16" x14ac:dyDescent="0.25">
      <c r="H73">
        <v>5</v>
      </c>
      <c r="I73">
        <v>2</v>
      </c>
      <c r="K73">
        <v>3</v>
      </c>
      <c r="L73">
        <v>4</v>
      </c>
      <c r="P73" t="s">
        <v>809</v>
      </c>
    </row>
    <row r="74" spans="3:16" x14ac:dyDescent="0.25">
      <c r="H74">
        <v>6</v>
      </c>
      <c r="I74">
        <v>2</v>
      </c>
      <c r="K74">
        <v>4</v>
      </c>
      <c r="O74">
        <v>-2</v>
      </c>
      <c r="P74" t="s">
        <v>1661</v>
      </c>
    </row>
    <row r="75" spans="3:16" x14ac:dyDescent="0.25">
      <c r="O75">
        <v>-1</v>
      </c>
      <c r="P75" t="s">
        <v>1225</v>
      </c>
    </row>
    <row r="76" spans="3:16" x14ac:dyDescent="0.25">
      <c r="O76">
        <v>-5</v>
      </c>
      <c r="P76" t="s">
        <v>830</v>
      </c>
    </row>
    <row r="80" spans="3:16" x14ac:dyDescent="0.25">
      <c r="K80">
        <f>SUM(K70:K79)</f>
        <v>10</v>
      </c>
      <c r="L80">
        <f>SUM(L70:L79)</f>
        <v>10</v>
      </c>
      <c r="M80">
        <f>SUM(M70:M79)</f>
        <v>9</v>
      </c>
      <c r="O80">
        <f>SUM(O70:O79)</f>
        <v>-9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44"/>
  <sheetViews>
    <sheetView workbookViewId="0">
      <selection activeCell="E13" sqref="E13"/>
    </sheetView>
  </sheetViews>
  <sheetFormatPr defaultRowHeight="15" x14ac:dyDescent="0.25"/>
  <cols>
    <col min="9" max="9" width="9.7109375" bestFit="1" customWidth="1"/>
  </cols>
  <sheetData>
    <row r="1" spans="1:11" x14ac:dyDescent="0.25">
      <c r="A1" t="s">
        <v>137</v>
      </c>
      <c r="B1" t="s">
        <v>119</v>
      </c>
      <c r="C1" t="s">
        <v>127</v>
      </c>
      <c r="D1" t="s">
        <v>123</v>
      </c>
      <c r="E1" t="s">
        <v>124</v>
      </c>
      <c r="F1" t="s">
        <v>125</v>
      </c>
      <c r="G1" t="s">
        <v>126</v>
      </c>
      <c r="H1" t="s">
        <v>128</v>
      </c>
      <c r="I1" t="s">
        <v>120</v>
      </c>
      <c r="J1" t="s">
        <v>121</v>
      </c>
      <c r="K1" t="s">
        <v>122</v>
      </c>
    </row>
    <row r="2" spans="1:11" x14ac:dyDescent="0.25">
      <c r="A2">
        <v>2</v>
      </c>
      <c r="B2">
        <v>2500</v>
      </c>
      <c r="C2">
        <v>2500</v>
      </c>
      <c r="D2">
        <v>1500</v>
      </c>
      <c r="E2">
        <v>2000</v>
      </c>
      <c r="F2">
        <v>1250</v>
      </c>
      <c r="G2">
        <v>1250</v>
      </c>
      <c r="H2">
        <v>1500</v>
      </c>
      <c r="I2">
        <v>2000</v>
      </c>
      <c r="J2">
        <v>2250</v>
      </c>
      <c r="K2">
        <v>2250</v>
      </c>
    </row>
    <row r="3" spans="1:11" x14ac:dyDescent="0.25">
      <c r="A3">
        <v>3</v>
      </c>
      <c r="B3">
        <v>5000</v>
      </c>
      <c r="C3">
        <v>5000</v>
      </c>
      <c r="D3">
        <v>3000</v>
      </c>
      <c r="E3">
        <v>4000</v>
      </c>
      <c r="F3">
        <v>2500</v>
      </c>
      <c r="G3">
        <v>2500</v>
      </c>
      <c r="H3">
        <v>3000</v>
      </c>
      <c r="I3">
        <v>4000</v>
      </c>
      <c r="J3">
        <v>4500</v>
      </c>
      <c r="K3">
        <v>4500</v>
      </c>
    </row>
    <row r="4" spans="1:11" x14ac:dyDescent="0.25">
      <c r="A4">
        <v>4</v>
      </c>
      <c r="B4">
        <v>10000</v>
      </c>
      <c r="C4">
        <v>10000</v>
      </c>
      <c r="D4">
        <v>6000</v>
      </c>
      <c r="E4">
        <v>7500</v>
      </c>
      <c r="F4">
        <v>5000</v>
      </c>
      <c r="G4">
        <v>5000</v>
      </c>
      <c r="H4">
        <v>6000</v>
      </c>
      <c r="I4">
        <v>8000</v>
      </c>
      <c r="J4">
        <v>9000</v>
      </c>
      <c r="K4">
        <v>9000</v>
      </c>
    </row>
    <row r="5" spans="1:11" x14ac:dyDescent="0.25">
      <c r="A5">
        <v>5</v>
      </c>
      <c r="B5">
        <v>20000</v>
      </c>
      <c r="C5">
        <v>20000</v>
      </c>
      <c r="D5">
        <v>13000</v>
      </c>
      <c r="E5">
        <v>12500</v>
      </c>
      <c r="F5">
        <v>10000</v>
      </c>
      <c r="G5">
        <v>10000</v>
      </c>
      <c r="H5">
        <v>13000</v>
      </c>
      <c r="I5">
        <v>16000</v>
      </c>
      <c r="J5">
        <v>18000</v>
      </c>
      <c r="K5">
        <v>18000</v>
      </c>
    </row>
    <row r="6" spans="1:11" x14ac:dyDescent="0.25">
      <c r="A6">
        <v>6</v>
      </c>
      <c r="B6">
        <v>40000</v>
      </c>
      <c r="C6">
        <v>40000</v>
      </c>
      <c r="D6">
        <v>27500</v>
      </c>
      <c r="E6">
        <v>20000</v>
      </c>
      <c r="F6">
        <v>20000</v>
      </c>
      <c r="G6">
        <v>20000</v>
      </c>
      <c r="H6">
        <v>27500</v>
      </c>
      <c r="I6">
        <v>32000</v>
      </c>
      <c r="J6">
        <v>36000</v>
      </c>
      <c r="K6">
        <v>36000</v>
      </c>
    </row>
    <row r="7" spans="1:11" x14ac:dyDescent="0.25">
      <c r="A7">
        <v>7</v>
      </c>
      <c r="B7">
        <v>60000</v>
      </c>
      <c r="C7">
        <v>60000</v>
      </c>
      <c r="D7">
        <v>55000</v>
      </c>
      <c r="E7">
        <v>35000</v>
      </c>
      <c r="F7">
        <v>40000</v>
      </c>
      <c r="G7">
        <v>40000</v>
      </c>
      <c r="H7">
        <v>55000</v>
      </c>
      <c r="I7">
        <v>64000</v>
      </c>
      <c r="J7">
        <v>75000</v>
      </c>
      <c r="K7">
        <v>75000</v>
      </c>
    </row>
    <row r="8" spans="1:11" x14ac:dyDescent="0.25">
      <c r="A8">
        <v>8</v>
      </c>
      <c r="B8">
        <v>90000</v>
      </c>
      <c r="C8">
        <v>90000</v>
      </c>
      <c r="D8">
        <v>110000</v>
      </c>
      <c r="E8">
        <v>60000</v>
      </c>
      <c r="F8">
        <v>70000</v>
      </c>
      <c r="G8">
        <v>70000</v>
      </c>
      <c r="H8">
        <v>110000</v>
      </c>
      <c r="I8">
        <v>125000</v>
      </c>
      <c r="J8">
        <v>150000</v>
      </c>
      <c r="K8">
        <v>150000</v>
      </c>
    </row>
    <row r="9" spans="1:11" x14ac:dyDescent="0.25">
      <c r="A9">
        <v>9</v>
      </c>
      <c r="B9">
        <v>135000</v>
      </c>
      <c r="C9">
        <v>135000</v>
      </c>
      <c r="D9">
        <v>225000</v>
      </c>
      <c r="E9">
        <v>90000</v>
      </c>
      <c r="F9">
        <v>110000</v>
      </c>
      <c r="G9">
        <v>110000</v>
      </c>
      <c r="H9">
        <v>225000</v>
      </c>
      <c r="I9">
        <v>250000</v>
      </c>
      <c r="J9">
        <v>300000</v>
      </c>
      <c r="K9">
        <v>300000</v>
      </c>
    </row>
    <row r="10" spans="1:11" x14ac:dyDescent="0.25">
      <c r="A10">
        <f t="shared" ref="A10:A41" si="0">A9+1</f>
        <v>10</v>
      </c>
      <c r="B10">
        <v>250000</v>
      </c>
      <c r="C10">
        <v>250000</v>
      </c>
      <c r="D10">
        <v>450000</v>
      </c>
      <c r="E10">
        <v>125000</v>
      </c>
      <c r="F10">
        <v>160000</v>
      </c>
      <c r="G10">
        <v>160000</v>
      </c>
      <c r="H10">
        <v>450000</v>
      </c>
      <c r="I10">
        <v>500000</v>
      </c>
      <c r="J10">
        <v>600000</v>
      </c>
      <c r="K10">
        <v>600000</v>
      </c>
    </row>
    <row r="11" spans="1:11" x14ac:dyDescent="0.25">
      <c r="A11">
        <f t="shared" si="0"/>
        <v>11</v>
      </c>
      <c r="B11">
        <v>375000</v>
      </c>
      <c r="C11">
        <v>375000</v>
      </c>
      <c r="D11">
        <v>675000</v>
      </c>
      <c r="E11">
        <v>200000</v>
      </c>
      <c r="F11">
        <v>220000</v>
      </c>
      <c r="G11">
        <v>220000</v>
      </c>
      <c r="H11">
        <v>675000</v>
      </c>
      <c r="I11">
        <v>750000</v>
      </c>
      <c r="J11">
        <v>900000</v>
      </c>
      <c r="K11">
        <v>900000</v>
      </c>
    </row>
    <row r="12" spans="1:11" x14ac:dyDescent="0.25">
      <c r="A12">
        <f t="shared" si="0"/>
        <v>12</v>
      </c>
      <c r="B12">
        <v>750000</v>
      </c>
      <c r="C12">
        <v>750000</v>
      </c>
      <c r="D12">
        <v>900000</v>
      </c>
      <c r="E12">
        <v>300000</v>
      </c>
      <c r="F12">
        <v>440000</v>
      </c>
      <c r="G12">
        <v>440000</v>
      </c>
      <c r="H12">
        <v>900000</v>
      </c>
      <c r="I12">
        <v>1000000</v>
      </c>
      <c r="J12">
        <v>1200000</v>
      </c>
      <c r="K12">
        <v>1200000</v>
      </c>
    </row>
    <row r="13" spans="1:11" x14ac:dyDescent="0.25">
      <c r="A13">
        <f t="shared" si="0"/>
        <v>13</v>
      </c>
      <c r="B13">
        <v>1125000</v>
      </c>
      <c r="C13">
        <v>1125000</v>
      </c>
      <c r="D13">
        <v>1125000</v>
      </c>
      <c r="E13">
        <v>750000</v>
      </c>
      <c r="F13">
        <v>660000</v>
      </c>
      <c r="G13">
        <v>660000</v>
      </c>
      <c r="H13">
        <v>1125000</v>
      </c>
      <c r="I13">
        <v>1250000</v>
      </c>
      <c r="J13">
        <v>1500000</v>
      </c>
      <c r="K13">
        <v>1500000</v>
      </c>
    </row>
    <row r="14" spans="1:11" x14ac:dyDescent="0.25">
      <c r="A14">
        <f t="shared" si="0"/>
        <v>14</v>
      </c>
      <c r="B14">
        <v>1500000</v>
      </c>
      <c r="C14">
        <v>1500000</v>
      </c>
      <c r="D14">
        <v>1350000</v>
      </c>
      <c r="E14">
        <v>1500000</v>
      </c>
      <c r="F14">
        <v>880000</v>
      </c>
      <c r="G14">
        <v>880000</v>
      </c>
      <c r="H14">
        <v>1350000</v>
      </c>
      <c r="I14">
        <v>1500000</v>
      </c>
      <c r="J14">
        <v>1800000</v>
      </c>
      <c r="K14">
        <v>1800000</v>
      </c>
    </row>
    <row r="15" spans="1:11" x14ac:dyDescent="0.25">
      <c r="A15">
        <f t="shared" si="0"/>
        <v>15</v>
      </c>
      <c r="B15">
        <v>1875000</v>
      </c>
      <c r="C15">
        <v>1875000</v>
      </c>
      <c r="D15">
        <v>1575000</v>
      </c>
      <c r="E15" s="2">
        <v>3000000</v>
      </c>
      <c r="F15">
        <v>1100000</v>
      </c>
      <c r="G15">
        <v>1100000</v>
      </c>
      <c r="H15">
        <v>1575000</v>
      </c>
      <c r="I15">
        <v>1750000</v>
      </c>
      <c r="J15">
        <v>2100000</v>
      </c>
      <c r="K15">
        <v>2100000</v>
      </c>
    </row>
    <row r="16" spans="1:11" x14ac:dyDescent="0.25">
      <c r="A16">
        <f t="shared" si="0"/>
        <v>16</v>
      </c>
      <c r="B16">
        <v>2250000</v>
      </c>
      <c r="C16">
        <v>2250000</v>
      </c>
      <c r="D16">
        <v>1800000</v>
      </c>
      <c r="F16">
        <v>1320000</v>
      </c>
      <c r="G16">
        <v>1320000</v>
      </c>
      <c r="H16">
        <v>1800000</v>
      </c>
      <c r="I16">
        <v>2000000</v>
      </c>
      <c r="J16">
        <v>2400000</v>
      </c>
      <c r="K16">
        <v>2400000</v>
      </c>
    </row>
    <row r="17" spans="1:12" x14ac:dyDescent="0.25">
      <c r="A17">
        <f t="shared" si="0"/>
        <v>17</v>
      </c>
      <c r="B17">
        <v>2625000</v>
      </c>
      <c r="C17">
        <v>2625000</v>
      </c>
      <c r="D17">
        <v>2025000</v>
      </c>
      <c r="F17">
        <v>1540000</v>
      </c>
      <c r="G17">
        <v>1540000</v>
      </c>
      <c r="H17">
        <v>2025000</v>
      </c>
      <c r="I17">
        <v>2250000</v>
      </c>
      <c r="J17">
        <v>2700000</v>
      </c>
      <c r="K17">
        <v>2700000</v>
      </c>
    </row>
    <row r="18" spans="1:12" x14ac:dyDescent="0.25">
      <c r="A18">
        <f t="shared" si="0"/>
        <v>18</v>
      </c>
      <c r="B18" s="2">
        <v>3000000</v>
      </c>
      <c r="C18" s="2">
        <v>3000000</v>
      </c>
      <c r="D18">
        <v>2250000</v>
      </c>
      <c r="F18">
        <v>1760000</v>
      </c>
      <c r="G18">
        <v>1760000</v>
      </c>
      <c r="H18">
        <v>2250000</v>
      </c>
      <c r="I18">
        <v>2500000</v>
      </c>
      <c r="J18" s="2">
        <v>3000000</v>
      </c>
      <c r="K18" s="2">
        <v>3000000</v>
      </c>
    </row>
    <row r="19" spans="1:12" x14ac:dyDescent="0.25">
      <c r="A19">
        <f t="shared" si="0"/>
        <v>19</v>
      </c>
      <c r="B19">
        <v>3375000</v>
      </c>
      <c r="C19">
        <v>3375000</v>
      </c>
      <c r="D19">
        <v>2475000</v>
      </c>
      <c r="F19">
        <v>1980000</v>
      </c>
      <c r="G19">
        <v>1980000</v>
      </c>
      <c r="H19">
        <v>2475000</v>
      </c>
      <c r="I19">
        <v>2750000</v>
      </c>
    </row>
    <row r="20" spans="1:12" x14ac:dyDescent="0.25">
      <c r="A20">
        <f t="shared" si="0"/>
        <v>20</v>
      </c>
      <c r="B20">
        <v>3750000</v>
      </c>
      <c r="C20">
        <v>3750000</v>
      </c>
      <c r="D20">
        <v>2700000</v>
      </c>
      <c r="F20">
        <v>2200000</v>
      </c>
      <c r="G20">
        <v>2200000</v>
      </c>
      <c r="H20">
        <v>2700000</v>
      </c>
      <c r="I20" s="2">
        <v>3000000</v>
      </c>
      <c r="L20">
        <f>358+309</f>
        <v>667</v>
      </c>
    </row>
    <row r="21" spans="1:12" x14ac:dyDescent="0.25">
      <c r="A21">
        <f t="shared" si="0"/>
        <v>21</v>
      </c>
      <c r="B21">
        <v>4125000</v>
      </c>
      <c r="C21">
        <v>4125000</v>
      </c>
      <c r="D21">
        <v>2925000</v>
      </c>
      <c r="F21">
        <v>2420000</v>
      </c>
      <c r="G21">
        <v>2420000</v>
      </c>
      <c r="H21">
        <v>2925000</v>
      </c>
      <c r="I21">
        <v>3250000</v>
      </c>
      <c r="L21">
        <f>309+95</f>
        <v>404</v>
      </c>
    </row>
    <row r="22" spans="1:12" x14ac:dyDescent="0.25">
      <c r="A22">
        <f t="shared" si="0"/>
        <v>22</v>
      </c>
      <c r="B22">
        <v>4500000</v>
      </c>
      <c r="C22">
        <v>4500000</v>
      </c>
      <c r="D22" s="2">
        <v>3150000</v>
      </c>
      <c r="F22">
        <v>2640000</v>
      </c>
      <c r="G22">
        <v>2640000</v>
      </c>
      <c r="H22" s="2">
        <v>3150000</v>
      </c>
    </row>
    <row r="23" spans="1:12" x14ac:dyDescent="0.25">
      <c r="A23">
        <f t="shared" si="0"/>
        <v>23</v>
      </c>
      <c r="B23">
        <v>4875000</v>
      </c>
      <c r="C23">
        <v>4875000</v>
      </c>
      <c r="F23">
        <v>2860000</v>
      </c>
      <c r="G23">
        <v>2860000</v>
      </c>
    </row>
    <row r="24" spans="1:12" x14ac:dyDescent="0.25">
      <c r="A24">
        <f t="shared" si="0"/>
        <v>24</v>
      </c>
      <c r="B24">
        <v>5250000</v>
      </c>
      <c r="C24">
        <v>5250000</v>
      </c>
      <c r="F24" s="2">
        <v>3080000</v>
      </c>
      <c r="G24" s="2">
        <v>3080000</v>
      </c>
    </row>
    <row r="25" spans="1:12" x14ac:dyDescent="0.25">
      <c r="A25">
        <f t="shared" si="0"/>
        <v>25</v>
      </c>
      <c r="B25">
        <v>5625000</v>
      </c>
      <c r="C25">
        <v>5625000</v>
      </c>
    </row>
    <row r="26" spans="1:12" x14ac:dyDescent="0.25">
      <c r="A26">
        <f t="shared" si="0"/>
        <v>26</v>
      </c>
      <c r="B26">
        <v>6000000</v>
      </c>
      <c r="C26">
        <v>6000000</v>
      </c>
    </row>
    <row r="27" spans="1:12" x14ac:dyDescent="0.25">
      <c r="A27">
        <f t="shared" si="0"/>
        <v>27</v>
      </c>
      <c r="B27">
        <v>6375000</v>
      </c>
      <c r="C27">
        <v>6375000</v>
      </c>
    </row>
    <row r="28" spans="1:12" x14ac:dyDescent="0.25">
      <c r="A28">
        <f t="shared" si="0"/>
        <v>28</v>
      </c>
      <c r="B28">
        <v>6750000</v>
      </c>
      <c r="C28">
        <v>6750000</v>
      </c>
    </row>
    <row r="29" spans="1:12" x14ac:dyDescent="0.25">
      <c r="A29">
        <f t="shared" si="0"/>
        <v>29</v>
      </c>
      <c r="B29">
        <v>7125000</v>
      </c>
      <c r="C29">
        <v>7125000</v>
      </c>
    </row>
    <row r="30" spans="1:12" x14ac:dyDescent="0.25">
      <c r="A30">
        <f t="shared" si="0"/>
        <v>30</v>
      </c>
      <c r="B30">
        <v>7500000</v>
      </c>
      <c r="C30">
        <v>7500000</v>
      </c>
    </row>
    <row r="31" spans="1:12" x14ac:dyDescent="0.25">
      <c r="A31">
        <f t="shared" si="0"/>
        <v>31</v>
      </c>
      <c r="B31">
        <v>7875000</v>
      </c>
      <c r="C31">
        <v>7875000</v>
      </c>
    </row>
    <row r="32" spans="1:12" x14ac:dyDescent="0.25">
      <c r="A32">
        <f t="shared" si="0"/>
        <v>32</v>
      </c>
      <c r="B32">
        <v>8250000</v>
      </c>
      <c r="C32">
        <v>8250000</v>
      </c>
    </row>
    <row r="33" spans="1:3" x14ac:dyDescent="0.25">
      <c r="A33">
        <f t="shared" si="0"/>
        <v>33</v>
      </c>
      <c r="B33">
        <v>8625000</v>
      </c>
      <c r="C33">
        <v>8625000</v>
      </c>
    </row>
    <row r="34" spans="1:3" x14ac:dyDescent="0.25">
      <c r="A34">
        <f t="shared" si="0"/>
        <v>34</v>
      </c>
      <c r="B34">
        <v>9000000</v>
      </c>
      <c r="C34">
        <v>9000000</v>
      </c>
    </row>
    <row r="35" spans="1:3" x14ac:dyDescent="0.25">
      <c r="A35">
        <f t="shared" si="0"/>
        <v>35</v>
      </c>
      <c r="B35">
        <v>9375000</v>
      </c>
      <c r="C35">
        <v>9375000</v>
      </c>
    </row>
    <row r="36" spans="1:3" x14ac:dyDescent="0.25">
      <c r="A36">
        <f t="shared" si="0"/>
        <v>36</v>
      </c>
      <c r="B36">
        <v>9750000</v>
      </c>
      <c r="C36">
        <v>9750000</v>
      </c>
    </row>
    <row r="37" spans="1:3" x14ac:dyDescent="0.25">
      <c r="A37">
        <f t="shared" si="0"/>
        <v>37</v>
      </c>
      <c r="B37">
        <v>10125000</v>
      </c>
      <c r="C37">
        <v>10125000</v>
      </c>
    </row>
    <row r="38" spans="1:3" x14ac:dyDescent="0.25">
      <c r="A38">
        <f t="shared" si="0"/>
        <v>38</v>
      </c>
      <c r="B38">
        <v>10500000</v>
      </c>
      <c r="C38">
        <v>10500000</v>
      </c>
    </row>
    <row r="39" spans="1:3" x14ac:dyDescent="0.25">
      <c r="A39">
        <f t="shared" si="0"/>
        <v>39</v>
      </c>
      <c r="B39">
        <v>10875000</v>
      </c>
      <c r="C39">
        <v>10875000</v>
      </c>
    </row>
    <row r="40" spans="1:3" x14ac:dyDescent="0.25">
      <c r="A40">
        <f t="shared" si="0"/>
        <v>40</v>
      </c>
      <c r="B40">
        <v>11250000</v>
      </c>
      <c r="C40">
        <v>11250000</v>
      </c>
    </row>
    <row r="41" spans="1:3" x14ac:dyDescent="0.25">
      <c r="A41">
        <f t="shared" si="0"/>
        <v>41</v>
      </c>
      <c r="B41">
        <v>13000000</v>
      </c>
      <c r="C41">
        <v>13000000</v>
      </c>
    </row>
    <row r="43" spans="1:3" x14ac:dyDescent="0.25">
      <c r="A43" t="s">
        <v>139</v>
      </c>
    </row>
    <row r="44" spans="1:3" x14ac:dyDescent="0.25">
      <c r="A44" t="s">
        <v>138</v>
      </c>
    </row>
  </sheetData>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B2:AD91"/>
  <sheetViews>
    <sheetView workbookViewId="0">
      <selection activeCell="B2" sqref="B2:T115"/>
    </sheetView>
  </sheetViews>
  <sheetFormatPr defaultRowHeight="15" x14ac:dyDescent="0.25"/>
  <cols>
    <col min="22" max="22" width="18.140625" customWidth="1"/>
  </cols>
  <sheetData>
    <row r="2" spans="2:26" x14ac:dyDescent="0.25">
      <c r="B2" t="s">
        <v>2552</v>
      </c>
    </row>
    <row r="3" spans="2:26" x14ac:dyDescent="0.25">
      <c r="B3" t="s">
        <v>2553</v>
      </c>
    </row>
    <row r="4" spans="2:26" x14ac:dyDescent="0.25">
      <c r="Z4" s="4"/>
    </row>
    <row r="5" spans="2:26" x14ac:dyDescent="0.25">
      <c r="B5" t="s">
        <v>2557</v>
      </c>
    </row>
    <row r="6" spans="2:26" x14ac:dyDescent="0.25">
      <c r="B6" t="s">
        <v>2354</v>
      </c>
      <c r="E6" s="4" t="s">
        <v>2563</v>
      </c>
    </row>
    <row r="7" spans="2:26" x14ac:dyDescent="0.25">
      <c r="B7" t="s">
        <v>2355</v>
      </c>
      <c r="E7" t="s">
        <v>2563</v>
      </c>
      <c r="Z7" s="6"/>
    </row>
    <row r="8" spans="2:26" x14ac:dyDescent="0.25">
      <c r="B8" t="s">
        <v>2359</v>
      </c>
      <c r="E8" t="s">
        <v>2563</v>
      </c>
      <c r="Z8" s="2"/>
    </row>
    <row r="9" spans="2:26" x14ac:dyDescent="0.25">
      <c r="B9" t="s">
        <v>2562</v>
      </c>
      <c r="E9" t="s">
        <v>2563</v>
      </c>
      <c r="Z9" s="3"/>
    </row>
    <row r="10" spans="2:26" x14ac:dyDescent="0.25">
      <c r="B10" t="s">
        <v>2576</v>
      </c>
      <c r="E10" s="4" t="s">
        <v>1711</v>
      </c>
      <c r="H10" t="s">
        <v>2577</v>
      </c>
      <c r="Z10" s="7"/>
    </row>
    <row r="11" spans="2:26" x14ac:dyDescent="0.25">
      <c r="B11" t="s">
        <v>2575</v>
      </c>
      <c r="E11" t="s">
        <v>1711</v>
      </c>
      <c r="H11" t="s">
        <v>2577</v>
      </c>
      <c r="Z11" s="23"/>
    </row>
    <row r="12" spans="2:26" x14ac:dyDescent="0.25">
      <c r="B12" t="s">
        <v>2555</v>
      </c>
      <c r="E12" t="s">
        <v>1711</v>
      </c>
      <c r="H12" t="s">
        <v>2587</v>
      </c>
      <c r="Z12" s="2"/>
    </row>
    <row r="13" spans="2:26" x14ac:dyDescent="0.25">
      <c r="B13" t="s">
        <v>2581</v>
      </c>
      <c r="E13" t="s">
        <v>1711</v>
      </c>
      <c r="H13" t="s">
        <v>2577</v>
      </c>
      <c r="L13" t="s">
        <v>2582</v>
      </c>
      <c r="Z13" s="2"/>
    </row>
    <row r="14" spans="2:26" x14ac:dyDescent="0.25">
      <c r="B14" t="s">
        <v>2556</v>
      </c>
      <c r="E14" t="s">
        <v>2566</v>
      </c>
      <c r="H14" s="1"/>
      <c r="Z14" s="24"/>
    </row>
    <row r="15" spans="2:26" x14ac:dyDescent="0.25">
      <c r="B15" t="s">
        <v>1695</v>
      </c>
      <c r="E15" t="s">
        <v>1714</v>
      </c>
      <c r="H15" s="1" t="s">
        <v>2568</v>
      </c>
      <c r="Z15" s="7"/>
    </row>
    <row r="16" spans="2:26" x14ac:dyDescent="0.25">
      <c r="B16" t="s">
        <v>2596</v>
      </c>
      <c r="E16" t="s">
        <v>1714</v>
      </c>
      <c r="H16" s="1" t="s">
        <v>2568</v>
      </c>
      <c r="Z16" s="2"/>
    </row>
    <row r="17" spans="2:26" x14ac:dyDescent="0.25">
      <c r="B17" t="s">
        <v>2603</v>
      </c>
      <c r="E17" t="s">
        <v>1714</v>
      </c>
      <c r="Z17" s="24"/>
    </row>
    <row r="18" spans="2:26" x14ac:dyDescent="0.25">
      <c r="B18" t="s">
        <v>1314</v>
      </c>
      <c r="E18" t="s">
        <v>1714</v>
      </c>
      <c r="Z18" s="6"/>
    </row>
    <row r="19" spans="2:26" x14ac:dyDescent="0.25">
      <c r="B19" t="s">
        <v>2604</v>
      </c>
      <c r="E19" t="s">
        <v>2605</v>
      </c>
      <c r="L19" t="s">
        <v>2606</v>
      </c>
      <c r="Z19" s="2"/>
    </row>
    <row r="20" spans="2:26" x14ac:dyDescent="0.25">
      <c r="B20" t="s">
        <v>1345</v>
      </c>
      <c r="E20" s="1" t="s">
        <v>2567</v>
      </c>
      <c r="H20" s="1" t="s">
        <v>2569</v>
      </c>
      <c r="Z20" s="7"/>
    </row>
    <row r="21" spans="2:26" x14ac:dyDescent="0.25">
      <c r="B21" t="s">
        <v>2465</v>
      </c>
      <c r="E21" s="4" t="s">
        <v>2564</v>
      </c>
      <c r="H21" s="1"/>
      <c r="Z21" s="4"/>
    </row>
    <row r="22" spans="2:26" x14ac:dyDescent="0.25">
      <c r="B22" t="s">
        <v>2217</v>
      </c>
      <c r="E22" t="s">
        <v>2564</v>
      </c>
      <c r="H22" s="1" t="s">
        <v>2571</v>
      </c>
      <c r="Z22" s="2"/>
    </row>
    <row r="23" spans="2:26" x14ac:dyDescent="0.25">
      <c r="B23" t="s">
        <v>2026</v>
      </c>
      <c r="E23" s="4" t="s">
        <v>2565</v>
      </c>
      <c r="H23" s="1"/>
      <c r="Z23" s="3"/>
    </row>
    <row r="24" spans="2:26" x14ac:dyDescent="0.25">
      <c r="B24" t="s">
        <v>2554</v>
      </c>
      <c r="E24" t="s">
        <v>2565</v>
      </c>
      <c r="H24" s="1" t="s">
        <v>2571</v>
      </c>
    </row>
    <row r="25" spans="2:26" x14ac:dyDescent="0.25">
      <c r="B25" t="s">
        <v>2558</v>
      </c>
      <c r="E25" s="4" t="s">
        <v>1709</v>
      </c>
      <c r="H25" s="1" t="s">
        <v>2569</v>
      </c>
      <c r="O25">
        <f>5/6</f>
        <v>0.83333333333333337</v>
      </c>
    </row>
    <row r="26" spans="2:26" x14ac:dyDescent="0.25">
      <c r="B26" t="s">
        <v>2417</v>
      </c>
      <c r="E26" t="s">
        <v>1709</v>
      </c>
      <c r="H26" s="1" t="s">
        <v>2570</v>
      </c>
    </row>
    <row r="27" spans="2:26" x14ac:dyDescent="0.25">
      <c r="B27" t="s">
        <v>2559</v>
      </c>
      <c r="E27" t="s">
        <v>1709</v>
      </c>
      <c r="H27" s="1" t="s">
        <v>2588</v>
      </c>
    </row>
    <row r="28" spans="2:26" x14ac:dyDescent="0.25">
      <c r="B28" t="s">
        <v>2560</v>
      </c>
      <c r="E28" t="s">
        <v>1709</v>
      </c>
      <c r="H28" s="1" t="s">
        <v>2572</v>
      </c>
      <c r="O28">
        <f>3/O25</f>
        <v>3.5999999999999996</v>
      </c>
    </row>
    <row r="29" spans="2:26" x14ac:dyDescent="0.25">
      <c r="B29" t="s">
        <v>2561</v>
      </c>
      <c r="E29" t="s">
        <v>1709</v>
      </c>
      <c r="H29" s="1" t="s">
        <v>2573</v>
      </c>
    </row>
    <row r="30" spans="2:26" x14ac:dyDescent="0.25">
      <c r="B30" t="s">
        <v>2215</v>
      </c>
      <c r="E30" t="s">
        <v>1709</v>
      </c>
      <c r="H30" s="1"/>
    </row>
    <row r="31" spans="2:26" x14ac:dyDescent="0.25">
      <c r="B31" t="s">
        <v>2216</v>
      </c>
      <c r="E31" t="s">
        <v>1709</v>
      </c>
      <c r="H31" s="1" t="s">
        <v>2574</v>
      </c>
    </row>
    <row r="32" spans="2:26" x14ac:dyDescent="0.25">
      <c r="B32" t="s">
        <v>2597</v>
      </c>
      <c r="E32" t="s">
        <v>1709</v>
      </c>
    </row>
    <row r="33" spans="2:22" x14ac:dyDescent="0.25">
      <c r="B33" t="s">
        <v>2598</v>
      </c>
      <c r="E33" t="s">
        <v>1709</v>
      </c>
    </row>
    <row r="34" spans="2:22" x14ac:dyDescent="0.25">
      <c r="B34" t="s">
        <v>2599</v>
      </c>
      <c r="E34" t="s">
        <v>1709</v>
      </c>
    </row>
    <row r="35" spans="2:22" x14ac:dyDescent="0.25">
      <c r="B35" t="s">
        <v>2600</v>
      </c>
      <c r="E35" t="s">
        <v>2601</v>
      </c>
    </row>
    <row r="36" spans="2:22" x14ac:dyDescent="0.25">
      <c r="B36" t="s">
        <v>300</v>
      </c>
      <c r="E36" t="s">
        <v>2602</v>
      </c>
    </row>
    <row r="37" spans="2:22" x14ac:dyDescent="0.25">
      <c r="B37" t="s">
        <v>2578</v>
      </c>
      <c r="E37" t="s">
        <v>2579</v>
      </c>
      <c r="H37" s="1"/>
      <c r="L37" t="s">
        <v>2580</v>
      </c>
    </row>
    <row r="38" spans="2:22" x14ac:dyDescent="0.25">
      <c r="B38" t="s">
        <v>2583</v>
      </c>
      <c r="E38" t="s">
        <v>2579</v>
      </c>
      <c r="H38" s="1" t="s">
        <v>2574</v>
      </c>
      <c r="L38" t="s">
        <v>2584</v>
      </c>
    </row>
    <row r="39" spans="2:22" x14ac:dyDescent="0.25">
      <c r="B39" t="s">
        <v>2585</v>
      </c>
      <c r="E39" t="s">
        <v>1692</v>
      </c>
      <c r="H39" s="1" t="s">
        <v>2574</v>
      </c>
      <c r="L39" t="s">
        <v>2586</v>
      </c>
      <c r="V39" s="4"/>
    </row>
    <row r="40" spans="2:22" x14ac:dyDescent="0.25">
      <c r="B40" t="s">
        <v>2589</v>
      </c>
      <c r="E40" t="s">
        <v>2590</v>
      </c>
      <c r="H40" s="1" t="s">
        <v>2591</v>
      </c>
    </row>
    <row r="41" spans="2:22" x14ac:dyDescent="0.25">
      <c r="B41" t="s">
        <v>2592</v>
      </c>
      <c r="E41" t="s">
        <v>2593</v>
      </c>
      <c r="H41" s="1" t="s">
        <v>2594</v>
      </c>
    </row>
    <row r="42" spans="2:22" x14ac:dyDescent="0.25">
      <c r="B42" t="s">
        <v>2498</v>
      </c>
      <c r="E42" t="s">
        <v>2593</v>
      </c>
      <c r="H42" s="1" t="s">
        <v>2595</v>
      </c>
    </row>
    <row r="56" spans="4:30" x14ac:dyDescent="0.25">
      <c r="D56" t="s">
        <v>2195</v>
      </c>
    </row>
    <row r="57" spans="4:30" x14ac:dyDescent="0.25">
      <c r="D57" t="s">
        <v>1490</v>
      </c>
    </row>
    <row r="58" spans="4:30" x14ac:dyDescent="0.25">
      <c r="D58" t="s">
        <v>2116</v>
      </c>
    </row>
    <row r="59" spans="4:30" x14ac:dyDescent="0.25">
      <c r="D59" t="s">
        <v>2117</v>
      </c>
    </row>
    <row r="60" spans="4:30" x14ac:dyDescent="0.25">
      <c r="D60" t="s">
        <v>1845</v>
      </c>
    </row>
    <row r="61" spans="4:30" x14ac:dyDescent="0.25">
      <c r="D61" t="s">
        <v>2612</v>
      </c>
    </row>
    <row r="62" spans="4:30" x14ac:dyDescent="0.25">
      <c r="D62" t="s">
        <v>2613</v>
      </c>
    </row>
    <row r="64" spans="4:30" x14ac:dyDescent="0.25">
      <c r="V64" s="4"/>
      <c r="AD64" s="4"/>
    </row>
    <row r="65" spans="3:30" x14ac:dyDescent="0.25">
      <c r="AD65" s="4"/>
    </row>
    <row r="66" spans="3:30" x14ac:dyDescent="0.25">
      <c r="V66" s="4"/>
      <c r="AD66" s="4"/>
    </row>
    <row r="67" spans="3:30" x14ac:dyDescent="0.25">
      <c r="C67" t="s">
        <v>1034</v>
      </c>
      <c r="G67" t="s">
        <v>2614</v>
      </c>
      <c r="H67" t="s">
        <v>2615</v>
      </c>
      <c r="M67" t="s">
        <v>2633</v>
      </c>
      <c r="V67" s="4"/>
      <c r="AD67" s="4"/>
    </row>
    <row r="68" spans="3:30" x14ac:dyDescent="0.25">
      <c r="C68" t="s">
        <v>1034</v>
      </c>
      <c r="G68" t="s">
        <v>2616</v>
      </c>
      <c r="H68" t="s">
        <v>2617</v>
      </c>
      <c r="AD68" s="4"/>
    </row>
    <row r="69" spans="3:30" x14ac:dyDescent="0.25">
      <c r="C69" t="s">
        <v>1043</v>
      </c>
      <c r="G69" t="s">
        <v>2618</v>
      </c>
      <c r="H69" t="s">
        <v>2619</v>
      </c>
      <c r="V69" s="4"/>
      <c r="AD69" s="4"/>
    </row>
    <row r="70" spans="3:30" x14ac:dyDescent="0.25">
      <c r="C70" t="s">
        <v>1045</v>
      </c>
      <c r="G70" t="s">
        <v>2626</v>
      </c>
      <c r="H70" s="1" t="s">
        <v>2620</v>
      </c>
      <c r="V70" s="4"/>
      <c r="AD70" s="4"/>
    </row>
    <row r="71" spans="3:30" x14ac:dyDescent="0.25">
      <c r="C71" t="s">
        <v>2192</v>
      </c>
      <c r="H71" t="s">
        <v>2621</v>
      </c>
      <c r="V71" s="4"/>
      <c r="AD71" s="4"/>
    </row>
    <row r="72" spans="3:30" x14ac:dyDescent="0.25">
      <c r="C72" t="s">
        <v>2193</v>
      </c>
      <c r="H72" t="s">
        <v>2622</v>
      </c>
      <c r="V72" s="4"/>
      <c r="AD72" s="4"/>
    </row>
    <row r="73" spans="3:30" x14ac:dyDescent="0.25">
      <c r="C73" t="s">
        <v>2436</v>
      </c>
      <c r="H73" s="4" t="s">
        <v>2193</v>
      </c>
      <c r="M73" t="s">
        <v>2631</v>
      </c>
      <c r="P73" t="s">
        <v>1557</v>
      </c>
      <c r="S73" t="s">
        <v>1627</v>
      </c>
      <c r="AD73" s="4"/>
    </row>
    <row r="74" spans="3:30" x14ac:dyDescent="0.25">
      <c r="C74" t="s">
        <v>1033</v>
      </c>
      <c r="H74" t="s">
        <v>2623</v>
      </c>
      <c r="M74" t="s">
        <v>2632</v>
      </c>
      <c r="P74" t="s">
        <v>2320</v>
      </c>
      <c r="S74" t="s">
        <v>668</v>
      </c>
      <c r="AD74" s="4"/>
    </row>
    <row r="75" spans="3:30" x14ac:dyDescent="0.25">
      <c r="H75" t="s">
        <v>2625</v>
      </c>
      <c r="M75" t="s">
        <v>2319</v>
      </c>
      <c r="P75" t="s">
        <v>1807</v>
      </c>
      <c r="S75" t="s">
        <v>1507</v>
      </c>
      <c r="AD75" s="4"/>
    </row>
    <row r="76" spans="3:30" x14ac:dyDescent="0.25">
      <c r="G76" t="s">
        <v>2624</v>
      </c>
      <c r="H76" t="s">
        <v>2620</v>
      </c>
      <c r="M76" t="s">
        <v>2320</v>
      </c>
      <c r="P76" t="s">
        <v>673</v>
      </c>
      <c r="S76" t="s">
        <v>673</v>
      </c>
      <c r="V76" s="4"/>
      <c r="AD76" s="4"/>
    </row>
    <row r="77" spans="3:30" x14ac:dyDescent="0.25">
      <c r="H77" t="s">
        <v>2194</v>
      </c>
      <c r="S77" t="s">
        <v>670</v>
      </c>
    </row>
    <row r="78" spans="3:30" x14ac:dyDescent="0.25">
      <c r="H78" t="s">
        <v>2622</v>
      </c>
      <c r="M78" t="s">
        <v>2529</v>
      </c>
      <c r="V78" s="4"/>
      <c r="AD78" s="4"/>
    </row>
    <row r="79" spans="3:30" x14ac:dyDescent="0.25">
      <c r="H79" s="4" t="s">
        <v>2192</v>
      </c>
      <c r="V79" s="4"/>
      <c r="AD79" s="4"/>
    </row>
    <row r="80" spans="3:30" x14ac:dyDescent="0.25">
      <c r="H80" t="s">
        <v>2623</v>
      </c>
      <c r="V80" s="4"/>
      <c r="AD80" s="1"/>
    </row>
    <row r="81" spans="3:30" x14ac:dyDescent="0.25">
      <c r="H81" t="s">
        <v>2625</v>
      </c>
      <c r="AA81" s="4"/>
      <c r="AD81" s="1"/>
    </row>
    <row r="82" spans="3:30" x14ac:dyDescent="0.25">
      <c r="G82" t="s">
        <v>2627</v>
      </c>
      <c r="H82" t="s">
        <v>2433</v>
      </c>
      <c r="V82" s="4"/>
      <c r="AA82" s="4"/>
      <c r="AD82" s="4"/>
    </row>
    <row r="83" spans="3:30" x14ac:dyDescent="0.25">
      <c r="H83" s="4" t="s">
        <v>1034</v>
      </c>
      <c r="V83" s="4"/>
      <c r="AD83" s="1"/>
    </row>
    <row r="84" spans="3:30" x14ac:dyDescent="0.25">
      <c r="H84" s="4" t="s">
        <v>2435</v>
      </c>
      <c r="M84" t="s">
        <v>2634</v>
      </c>
      <c r="AA84" s="4"/>
      <c r="AD84" s="1"/>
    </row>
    <row r="85" spans="3:30" x14ac:dyDescent="0.25">
      <c r="C85">
        <f>1</f>
        <v>1</v>
      </c>
      <c r="D85">
        <f>1</f>
        <v>1</v>
      </c>
      <c r="E85" t="s">
        <v>1468</v>
      </c>
      <c r="H85" t="s">
        <v>2434</v>
      </c>
      <c r="M85" t="s">
        <v>2635</v>
      </c>
      <c r="AA85" s="4"/>
      <c r="AD85" s="4"/>
    </row>
    <row r="86" spans="3:30" x14ac:dyDescent="0.25">
      <c r="C86">
        <v>-4</v>
      </c>
      <c r="D86">
        <v>-4</v>
      </c>
      <c r="E86" t="s">
        <v>634</v>
      </c>
      <c r="H86" t="s">
        <v>2432</v>
      </c>
      <c r="M86" t="s">
        <v>1238</v>
      </c>
      <c r="AA86" s="4"/>
      <c r="AD86" s="1"/>
    </row>
    <row r="87" spans="3:30" x14ac:dyDescent="0.25">
      <c r="D87">
        <v>-2</v>
      </c>
      <c r="E87" t="s">
        <v>2636</v>
      </c>
      <c r="H87" s="4" t="s">
        <v>2436</v>
      </c>
      <c r="M87" t="s">
        <v>2413</v>
      </c>
      <c r="AA87" s="4"/>
      <c r="AD87" s="1"/>
    </row>
    <row r="88" spans="3:30" x14ac:dyDescent="0.25">
      <c r="C88">
        <v>-2</v>
      </c>
      <c r="D88">
        <v>-2</v>
      </c>
      <c r="E88" t="s">
        <v>647</v>
      </c>
      <c r="G88" t="s">
        <v>2640</v>
      </c>
      <c r="H88" s="4" t="s">
        <v>2628</v>
      </c>
      <c r="M88" t="s">
        <v>1301</v>
      </c>
      <c r="AD88" s="4"/>
    </row>
    <row r="89" spans="3:30" x14ac:dyDescent="0.25">
      <c r="D89">
        <v>-3</v>
      </c>
      <c r="E89" t="s">
        <v>682</v>
      </c>
      <c r="H89" s="4" t="s">
        <v>2629</v>
      </c>
      <c r="AA89" s="4"/>
      <c r="AD89" s="4"/>
    </row>
    <row r="90" spans="3:30" x14ac:dyDescent="0.25">
      <c r="H90" t="s">
        <v>2630</v>
      </c>
      <c r="AD90" s="1"/>
    </row>
    <row r="91" spans="3:30" x14ac:dyDescent="0.25">
      <c r="G91" t="s">
        <v>2638</v>
      </c>
      <c r="H91" s="4" t="s">
        <v>2639</v>
      </c>
    </row>
  </sheetData>
  <sortState ref="U64:U86">
    <sortCondition ref="U64"/>
  </sortState>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T188"/>
  <sheetViews>
    <sheetView topLeftCell="A163" workbookViewId="0">
      <selection activeCell="F176" sqref="F176"/>
    </sheetView>
  </sheetViews>
  <sheetFormatPr defaultRowHeight="15" x14ac:dyDescent="0.25"/>
  <cols>
    <col min="1" max="2" width="9.140625" style="1"/>
    <col min="3" max="3" width="10.140625" style="1" customWidth="1"/>
    <col min="4" max="4" width="9.140625" style="1"/>
    <col min="5" max="5" width="11.42578125" style="1" customWidth="1"/>
    <col min="6" max="9" width="9.140625" style="1"/>
    <col min="10" max="10" width="12" style="1" customWidth="1"/>
    <col min="11" max="16384" width="9.140625" style="1"/>
  </cols>
  <sheetData>
    <row r="1" spans="2:18" x14ac:dyDescent="0.25">
      <c r="B1" s="1" t="s">
        <v>1568</v>
      </c>
      <c r="D1" s="1" t="s">
        <v>1569</v>
      </c>
      <c r="F1" s="1" t="s">
        <v>2394</v>
      </c>
      <c r="H1" s="1" t="s">
        <v>2395</v>
      </c>
      <c r="M1" s="1" t="s">
        <v>2396</v>
      </c>
    </row>
    <row r="3" spans="2:18" x14ac:dyDescent="0.25">
      <c r="B3" s="1" t="s">
        <v>2371</v>
      </c>
      <c r="D3" s="7" t="s">
        <v>849</v>
      </c>
      <c r="F3" s="7" t="s">
        <v>783</v>
      </c>
      <c r="H3" s="7" t="s">
        <v>2058</v>
      </c>
      <c r="M3" s="1" t="s">
        <v>971</v>
      </c>
      <c r="P3" s="1" t="s">
        <v>1325</v>
      </c>
    </row>
    <row r="4" spans="2:18" x14ac:dyDescent="0.25">
      <c r="B4" s="1" t="s">
        <v>1996</v>
      </c>
      <c r="D4" s="1" t="s">
        <v>947</v>
      </c>
      <c r="F4" s="7" t="s">
        <v>1772</v>
      </c>
      <c r="H4" s="1" t="s">
        <v>2057</v>
      </c>
      <c r="M4" s="7" t="s">
        <v>2397</v>
      </c>
      <c r="P4" s="1">
        <v>1</v>
      </c>
      <c r="Q4" s="1">
        <v>100</v>
      </c>
    </row>
    <row r="5" spans="2:18" x14ac:dyDescent="0.25">
      <c r="B5" s="1" t="s">
        <v>2377</v>
      </c>
      <c r="D5" s="1" t="s">
        <v>856</v>
      </c>
      <c r="F5" s="7" t="s">
        <v>2372</v>
      </c>
      <c r="H5" s="7" t="s">
        <v>2381</v>
      </c>
      <c r="M5" s="1" t="s">
        <v>923</v>
      </c>
      <c r="P5" s="1">
        <v>2</v>
      </c>
      <c r="Q5" s="1">
        <v>200</v>
      </c>
    </row>
    <row r="6" spans="2:18" x14ac:dyDescent="0.25">
      <c r="B6" s="7" t="s">
        <v>902</v>
      </c>
      <c r="D6" s="1" t="s">
        <v>859</v>
      </c>
      <c r="F6" s="1" t="s">
        <v>2375</v>
      </c>
      <c r="H6" s="1" t="s">
        <v>2059</v>
      </c>
      <c r="M6" s="1" t="s">
        <v>834</v>
      </c>
      <c r="P6" s="1">
        <v>3</v>
      </c>
      <c r="Q6" s="1">
        <v>300</v>
      </c>
    </row>
    <row r="7" spans="2:18" x14ac:dyDescent="0.25">
      <c r="B7" s="1" t="s">
        <v>984</v>
      </c>
      <c r="D7" s="7" t="s">
        <v>2340</v>
      </c>
      <c r="F7" s="1" t="s">
        <v>2376</v>
      </c>
      <c r="H7" s="1" t="s">
        <v>2370</v>
      </c>
      <c r="M7" s="7" t="s">
        <v>921</v>
      </c>
      <c r="P7" s="1">
        <v>4</v>
      </c>
      <c r="Q7" s="1">
        <v>500</v>
      </c>
    </row>
    <row r="8" spans="2:18" x14ac:dyDescent="0.25">
      <c r="B8" s="1" t="s">
        <v>906</v>
      </c>
      <c r="D8" s="7" t="s">
        <v>2260</v>
      </c>
      <c r="F8" s="1" t="s">
        <v>2373</v>
      </c>
      <c r="H8" s="1" t="s">
        <v>2378</v>
      </c>
      <c r="M8" s="1" t="s">
        <v>832</v>
      </c>
      <c r="P8" s="1">
        <v>5</v>
      </c>
      <c r="Q8" s="1">
        <v>1000</v>
      </c>
      <c r="R8" s="1" t="s">
        <v>851</v>
      </c>
    </row>
    <row r="9" spans="2:18" x14ac:dyDescent="0.25">
      <c r="B9" s="7" t="s">
        <v>917</v>
      </c>
      <c r="F9" s="1" t="s">
        <v>2374</v>
      </c>
      <c r="H9" s="7" t="s">
        <v>2379</v>
      </c>
      <c r="M9" s="1" t="s">
        <v>926</v>
      </c>
      <c r="P9" s="1">
        <v>6</v>
      </c>
      <c r="Q9" s="1">
        <v>2000</v>
      </c>
    </row>
    <row r="10" spans="2:18" x14ac:dyDescent="0.25">
      <c r="B10" s="7" t="s">
        <v>916</v>
      </c>
      <c r="H10" s="7" t="s">
        <v>1105</v>
      </c>
      <c r="M10" s="7" t="s">
        <v>2399</v>
      </c>
      <c r="P10" s="1">
        <v>7</v>
      </c>
      <c r="Q10" s="1">
        <v>3000</v>
      </c>
    </row>
    <row r="11" spans="2:18" x14ac:dyDescent="0.25">
      <c r="H11" s="7" t="s">
        <v>2380</v>
      </c>
      <c r="M11" s="7" t="s">
        <v>1473</v>
      </c>
      <c r="P11" s="1">
        <v>8</v>
      </c>
      <c r="Q11" s="1">
        <v>5000</v>
      </c>
    </row>
    <row r="12" spans="2:18" x14ac:dyDescent="0.25">
      <c r="H12" s="7" t="s">
        <v>2382</v>
      </c>
      <c r="K12" s="1">
        <f>3.5*5*6*6</f>
        <v>630</v>
      </c>
      <c r="M12" s="1" t="s">
        <v>929</v>
      </c>
      <c r="P12" s="1">
        <v>9</v>
      </c>
      <c r="Q12" s="1">
        <v>10000</v>
      </c>
    </row>
    <row r="13" spans="2:18" x14ac:dyDescent="0.25">
      <c r="D13" s="1">
        <f>(6+9+24)*5+12</f>
        <v>207</v>
      </c>
      <c r="E13" s="1">
        <f>6+2+4</f>
        <v>12</v>
      </c>
      <c r="H13" s="1" t="s">
        <v>1983</v>
      </c>
      <c r="K13" s="1">
        <f>3.5*5*6</f>
        <v>105</v>
      </c>
      <c r="M13" s="7" t="s">
        <v>836</v>
      </c>
    </row>
    <row r="14" spans="2:18" x14ac:dyDescent="0.25">
      <c r="C14" s="1">
        <f>10-6-6-1</f>
        <v>-3</v>
      </c>
      <c r="F14" s="1">
        <f>552*3+80</f>
        <v>1736</v>
      </c>
      <c r="H14" s="1" t="s">
        <v>2383</v>
      </c>
      <c r="M14" s="7" t="s">
        <v>838</v>
      </c>
    </row>
    <row r="15" spans="2:18" x14ac:dyDescent="0.25">
      <c r="B15" s="1">
        <f>16*18</f>
        <v>288</v>
      </c>
      <c r="C15" s="1">
        <f>7-6-6-1</f>
        <v>-6</v>
      </c>
      <c r="F15" s="1">
        <f>420*0.5*0.7</f>
        <v>147</v>
      </c>
      <c r="H15" s="1" t="s">
        <v>2384</v>
      </c>
      <c r="M15" s="7" t="s">
        <v>2398</v>
      </c>
      <c r="Q15" s="1">
        <f>10*(18+2.5+3+3)</f>
        <v>265</v>
      </c>
    </row>
    <row r="16" spans="2:18" x14ac:dyDescent="0.25">
      <c r="D16" s="1">
        <f>0.5^6</f>
        <v>1.5625E-2</v>
      </c>
      <c r="E16" s="1">
        <f>3.5*5*6</f>
        <v>105</v>
      </c>
      <c r="F16" s="1">
        <f>F14/F15</f>
        <v>11.80952380952381</v>
      </c>
      <c r="H16" s="1" t="s">
        <v>1026</v>
      </c>
      <c r="K16" s="1">
        <v>26228</v>
      </c>
      <c r="M16" s="1" t="s">
        <v>930</v>
      </c>
      <c r="Q16" s="1">
        <f>8*(2.5+7+18+18)</f>
        <v>364</v>
      </c>
    </row>
    <row r="17" spans="2:18" x14ac:dyDescent="0.25">
      <c r="H17" s="1" t="s">
        <v>2385</v>
      </c>
      <c r="M17" s="1" t="s">
        <v>933</v>
      </c>
    </row>
    <row r="18" spans="2:18" x14ac:dyDescent="0.25">
      <c r="D18" s="1">
        <v>65</v>
      </c>
      <c r="F18" s="1">
        <f>3.5*20*6</f>
        <v>420</v>
      </c>
      <c r="H18" s="7" t="s">
        <v>2052</v>
      </c>
      <c r="M18" s="1" t="s">
        <v>839</v>
      </c>
      <c r="Q18" s="1">
        <f>10-24-3-1</f>
        <v>-18</v>
      </c>
    </row>
    <row r="19" spans="2:18" x14ac:dyDescent="0.25">
      <c r="B19" s="1" t="s">
        <v>2404</v>
      </c>
      <c r="D19" s="1">
        <f>D18-22</f>
        <v>43</v>
      </c>
      <c r="F19" s="1">
        <f>10*(24+12+6)</f>
        <v>420</v>
      </c>
      <c r="H19" s="7" t="s">
        <v>2386</v>
      </c>
      <c r="K19" s="1">
        <f>768*7</f>
        <v>5376</v>
      </c>
      <c r="M19" s="1" t="s">
        <v>931</v>
      </c>
      <c r="O19" s="1">
        <f>24+12+6</f>
        <v>42</v>
      </c>
    </row>
    <row r="20" spans="2:18" x14ac:dyDescent="0.25">
      <c r="B20" s="1" t="s">
        <v>2404</v>
      </c>
      <c r="D20" s="1">
        <f>D19-22</f>
        <v>21</v>
      </c>
      <c r="H20" s="7" t="s">
        <v>2387</v>
      </c>
      <c r="K20" s="1">
        <f>461*7</f>
        <v>3227</v>
      </c>
      <c r="M20" s="1" t="s">
        <v>840</v>
      </c>
    </row>
    <row r="21" spans="2:18" x14ac:dyDescent="0.25">
      <c r="B21" s="1" t="s">
        <v>2404</v>
      </c>
      <c r="D21" s="1">
        <v>0</v>
      </c>
      <c r="F21" s="1">
        <f>1736</f>
        <v>1736</v>
      </c>
      <c r="H21" s="1" t="s">
        <v>2388</v>
      </c>
      <c r="M21" s="1" t="s">
        <v>874</v>
      </c>
    </row>
    <row r="22" spans="2:18" x14ac:dyDescent="0.25">
      <c r="B22" s="1" t="s">
        <v>1948</v>
      </c>
      <c r="D22" s="1">
        <f>6+4</f>
        <v>10</v>
      </c>
      <c r="F22" s="1">
        <v>2500</v>
      </c>
      <c r="H22" s="7" t="s">
        <v>2016</v>
      </c>
      <c r="M22" s="7" t="s">
        <v>934</v>
      </c>
    </row>
    <row r="23" spans="2:18" x14ac:dyDescent="0.25">
      <c r="B23" s="1" t="s">
        <v>2405</v>
      </c>
      <c r="D23" s="1">
        <f>D22+2</f>
        <v>12</v>
      </c>
      <c r="E23" s="1">
        <f>1-1-2-1-1</f>
        <v>-4</v>
      </c>
      <c r="F23" s="1">
        <f>F22*0.7</f>
        <v>1750</v>
      </c>
      <c r="H23" s="1" t="s">
        <v>2389</v>
      </c>
      <c r="M23" s="1" t="s">
        <v>843</v>
      </c>
    </row>
    <row r="24" spans="2:18" x14ac:dyDescent="0.25">
      <c r="B24" s="1" t="s">
        <v>2406</v>
      </c>
      <c r="D24" s="1">
        <f>D23+2</f>
        <v>14</v>
      </c>
      <c r="H24" s="7" t="s">
        <v>1987</v>
      </c>
      <c r="M24" s="1" t="s">
        <v>1435</v>
      </c>
    </row>
    <row r="25" spans="2:18" x14ac:dyDescent="0.25">
      <c r="B25" s="1" t="s">
        <v>2042</v>
      </c>
      <c r="D25" s="1">
        <f>D24+2</f>
        <v>16</v>
      </c>
      <c r="H25" s="1" t="s">
        <v>2390</v>
      </c>
      <c r="M25" s="1" t="s">
        <v>1912</v>
      </c>
      <c r="P25" s="1">
        <v>3</v>
      </c>
      <c r="Q25" s="1" t="s">
        <v>824</v>
      </c>
      <c r="R25" s="1">
        <v>5</v>
      </c>
    </row>
    <row r="26" spans="2:18" x14ac:dyDescent="0.25">
      <c r="D26" s="1">
        <f>20-D25</f>
        <v>4</v>
      </c>
      <c r="H26" s="7" t="s">
        <v>2391</v>
      </c>
      <c r="M26" s="7" t="s">
        <v>1916</v>
      </c>
      <c r="P26" s="1">
        <v>-4</v>
      </c>
      <c r="Q26" s="1" t="s">
        <v>634</v>
      </c>
      <c r="R26" s="1">
        <v>-4</v>
      </c>
    </row>
    <row r="27" spans="2:18" x14ac:dyDescent="0.25">
      <c r="C27" s="1">
        <f>0.3^6</f>
        <v>7.2899999999999994E-4</v>
      </c>
      <c r="D27" s="1">
        <f>D26/20</f>
        <v>0.2</v>
      </c>
      <c r="E27" s="1">
        <f>D27</f>
        <v>0.2</v>
      </c>
      <c r="H27" s="7" t="s">
        <v>1984</v>
      </c>
      <c r="M27" s="7" t="s">
        <v>846</v>
      </c>
      <c r="P27" s="1">
        <v>-5</v>
      </c>
      <c r="Q27" s="1" t="s">
        <v>830</v>
      </c>
      <c r="R27" s="1">
        <v>-2</v>
      </c>
    </row>
    <row r="28" spans="2:18" x14ac:dyDescent="0.25">
      <c r="D28" s="1">
        <f>D27^6</f>
        <v>6.4000000000000038E-5</v>
      </c>
      <c r="E28" s="1">
        <f>E27^2</f>
        <v>4.0000000000000008E-2</v>
      </c>
      <c r="H28" s="1" t="s">
        <v>2392</v>
      </c>
      <c r="M28" s="7" t="s">
        <v>937</v>
      </c>
      <c r="P28" s="1">
        <v>-1</v>
      </c>
      <c r="Q28" s="1" t="s">
        <v>1540</v>
      </c>
    </row>
    <row r="29" spans="2:18" x14ac:dyDescent="0.25">
      <c r="E29" s="1">
        <f>(1+1)*2*2*2</f>
        <v>16</v>
      </c>
      <c r="H29" s="1" t="s">
        <v>2393</v>
      </c>
      <c r="M29" s="7" t="s">
        <v>938</v>
      </c>
      <c r="P29" s="1">
        <v>-2</v>
      </c>
      <c r="Q29" s="1" t="s">
        <v>1661</v>
      </c>
    </row>
    <row r="30" spans="2:18" x14ac:dyDescent="0.25">
      <c r="B30" s="1" t="s">
        <v>2407</v>
      </c>
      <c r="G30" s="1">
        <f>6/20</f>
        <v>0.3</v>
      </c>
      <c r="M30" s="7" t="s">
        <v>734</v>
      </c>
    </row>
    <row r="31" spans="2:18" x14ac:dyDescent="0.25">
      <c r="B31" s="1" t="s">
        <v>2408</v>
      </c>
      <c r="F31" s="1">
        <f>10-1-4-2-1-6-3-6</f>
        <v>-13</v>
      </c>
      <c r="G31" s="1">
        <f>0.7^6</f>
        <v>0.11764899999999995</v>
      </c>
      <c r="H31" s="1">
        <f>0.7^12</f>
        <v>1.3841287200999986E-2</v>
      </c>
      <c r="J31" s="1">
        <f>36*3</f>
        <v>108</v>
      </c>
      <c r="M31" s="1" t="s">
        <v>940</v>
      </c>
    </row>
    <row r="32" spans="2:18" x14ac:dyDescent="0.25">
      <c r="B32" s="1" t="s">
        <v>2409</v>
      </c>
      <c r="G32" s="1">
        <f>1-G31</f>
        <v>0.88235100000000011</v>
      </c>
      <c r="H32" s="1">
        <f>1-H31</f>
        <v>0.98615871279900003</v>
      </c>
      <c r="M32" s="1" t="s">
        <v>943</v>
      </c>
    </row>
    <row r="33" spans="1:18" x14ac:dyDescent="0.25">
      <c r="B33" s="1" t="s">
        <v>2410</v>
      </c>
      <c r="M33" s="1" t="s">
        <v>942</v>
      </c>
    </row>
    <row r="34" spans="1:18" x14ac:dyDescent="0.25">
      <c r="M34" s="7" t="s">
        <v>851</v>
      </c>
    </row>
    <row r="35" spans="1:18" x14ac:dyDescent="0.25">
      <c r="B35" s="1" t="s">
        <v>1287</v>
      </c>
      <c r="C35" s="1" t="s">
        <v>1296</v>
      </c>
      <c r="D35" s="1" t="s">
        <v>2412</v>
      </c>
      <c r="M35" s="1" t="s">
        <v>847</v>
      </c>
    </row>
    <row r="36" spans="1:18" x14ac:dyDescent="0.25">
      <c r="C36" s="1" t="s">
        <v>1815</v>
      </c>
      <c r="D36" s="1" t="s">
        <v>1301</v>
      </c>
      <c r="F36" s="1">
        <f>20-5-4-6-1-1</f>
        <v>3</v>
      </c>
      <c r="M36" s="7" t="s">
        <v>2400</v>
      </c>
      <c r="P36" s="1">
        <f>SUM(P25:P35)</f>
        <v>-9</v>
      </c>
      <c r="R36" s="1">
        <f>SUM(R25:R35)</f>
        <v>-1</v>
      </c>
    </row>
    <row r="37" spans="1:18" x14ac:dyDescent="0.25">
      <c r="D37" s="1" t="s">
        <v>1292</v>
      </c>
      <c r="F37" s="1">
        <f>9-5-4-6-1-1+2</f>
        <v>-6</v>
      </c>
      <c r="H37" s="1">
        <f>0.15*0.3</f>
        <v>4.4999999999999998E-2</v>
      </c>
      <c r="M37" s="7" t="s">
        <v>2401</v>
      </c>
    </row>
    <row r="38" spans="1:18" x14ac:dyDescent="0.25">
      <c r="D38" s="1" t="s">
        <v>1808</v>
      </c>
      <c r="H38" s="1">
        <f>1-H37</f>
        <v>0.95499999999999996</v>
      </c>
      <c r="M38" s="1" t="s">
        <v>1031</v>
      </c>
    </row>
    <row r="39" spans="1:18" x14ac:dyDescent="0.25">
      <c r="H39" s="1">
        <f>H38^30</f>
        <v>0.25124715198851183</v>
      </c>
      <c r="M39" s="1" t="s">
        <v>1895</v>
      </c>
    </row>
    <row r="40" spans="1:18" x14ac:dyDescent="0.25">
      <c r="M40" s="1" t="s">
        <v>855</v>
      </c>
    </row>
    <row r="41" spans="1:18" x14ac:dyDescent="0.25">
      <c r="F41" s="1" t="s">
        <v>1873</v>
      </c>
      <c r="M41" s="7" t="s">
        <v>1786</v>
      </c>
    </row>
    <row r="42" spans="1:18" x14ac:dyDescent="0.25">
      <c r="F42" s="1" t="s">
        <v>1213</v>
      </c>
      <c r="M42" s="7" t="s">
        <v>860</v>
      </c>
    </row>
    <row r="43" spans="1:18" x14ac:dyDescent="0.25">
      <c r="F43" s="1" t="s">
        <v>1816</v>
      </c>
      <c r="M43" s="7" t="s">
        <v>2402</v>
      </c>
    </row>
    <row r="44" spans="1:18" x14ac:dyDescent="0.25">
      <c r="F44" s="1" t="s">
        <v>1816</v>
      </c>
      <c r="M44" s="1" t="s">
        <v>953</v>
      </c>
    </row>
    <row r="45" spans="1:18" x14ac:dyDescent="0.25">
      <c r="F45" s="1" t="s">
        <v>1816</v>
      </c>
      <c r="M45" s="1" t="s">
        <v>949</v>
      </c>
    </row>
    <row r="46" spans="1:18" x14ac:dyDescent="0.25">
      <c r="M46" s="1" t="s">
        <v>954</v>
      </c>
    </row>
    <row r="47" spans="1:18" x14ac:dyDescent="0.25">
      <c r="A47" s="1" t="s">
        <v>2418</v>
      </c>
      <c r="H47" s="1" t="s">
        <v>2397</v>
      </c>
      <c r="K47" s="1" t="s">
        <v>921</v>
      </c>
      <c r="M47" s="7" t="s">
        <v>2227</v>
      </c>
    </row>
    <row r="48" spans="1:18" x14ac:dyDescent="0.25">
      <c r="A48" s="1" t="s">
        <v>2419</v>
      </c>
      <c r="H48" s="1" t="s">
        <v>921</v>
      </c>
      <c r="M48" s="1" t="s">
        <v>2403</v>
      </c>
    </row>
    <row r="49" spans="1:14" x14ac:dyDescent="0.25">
      <c r="A49" s="1" t="s">
        <v>2420</v>
      </c>
      <c r="H49" s="1" t="s">
        <v>1908</v>
      </c>
      <c r="M49" s="7" t="s">
        <v>959</v>
      </c>
    </row>
    <row r="50" spans="1:14" x14ac:dyDescent="0.25">
      <c r="A50" s="1" t="s">
        <v>2447</v>
      </c>
      <c r="H50" s="1" t="s">
        <v>2399</v>
      </c>
      <c r="M50" s="1" t="s">
        <v>747</v>
      </c>
    </row>
    <row r="51" spans="1:14" x14ac:dyDescent="0.25">
      <c r="A51" s="1" t="s">
        <v>2421</v>
      </c>
      <c r="H51" s="1" t="s">
        <v>2398</v>
      </c>
      <c r="M51" s="1" t="s">
        <v>750</v>
      </c>
    </row>
    <row r="52" spans="1:14" x14ac:dyDescent="0.25">
      <c r="A52" s="1" t="s">
        <v>2422</v>
      </c>
      <c r="D52" s="1" t="s">
        <v>1209</v>
      </c>
      <c r="H52" s="1" t="s">
        <v>930</v>
      </c>
      <c r="J52" s="1" t="s">
        <v>881</v>
      </c>
      <c r="K52" s="1" t="s">
        <v>969</v>
      </c>
      <c r="M52" s="1" t="s">
        <v>2411</v>
      </c>
    </row>
    <row r="53" spans="1:14" x14ac:dyDescent="0.25">
      <c r="D53" s="1" t="s">
        <v>2307</v>
      </c>
      <c r="H53" s="1" t="s">
        <v>839</v>
      </c>
      <c r="J53" s="1" t="s">
        <v>2439</v>
      </c>
    </row>
    <row r="54" spans="1:14" x14ac:dyDescent="0.25">
      <c r="A54" s="1" t="s">
        <v>2425</v>
      </c>
      <c r="H54" s="1" t="s">
        <v>840</v>
      </c>
    </row>
    <row r="55" spans="1:14" x14ac:dyDescent="0.25">
      <c r="A55" s="1" t="s">
        <v>2423</v>
      </c>
      <c r="H55" s="1" t="s">
        <v>1915</v>
      </c>
    </row>
    <row r="56" spans="1:14" x14ac:dyDescent="0.25">
      <c r="A56" s="1" t="s">
        <v>2424</v>
      </c>
      <c r="H56" s="1" t="s">
        <v>1913</v>
      </c>
    </row>
    <row r="57" spans="1:14" x14ac:dyDescent="0.25">
      <c r="A57" s="1" t="s">
        <v>2427</v>
      </c>
      <c r="H57" s="1" t="s">
        <v>1914</v>
      </c>
    </row>
    <row r="58" spans="1:14" x14ac:dyDescent="0.25">
      <c r="A58" s="1" t="s">
        <v>2426</v>
      </c>
      <c r="H58" s="1" t="s">
        <v>849</v>
      </c>
      <c r="J58" s="1" t="s">
        <v>975</v>
      </c>
      <c r="M58" s="1">
        <f>(6+4+36+1+1)*5+14</f>
        <v>254</v>
      </c>
    </row>
    <row r="59" spans="1:14" x14ac:dyDescent="0.25">
      <c r="A59" s="1" t="s">
        <v>2031</v>
      </c>
      <c r="H59" s="1" t="s">
        <v>940</v>
      </c>
    </row>
    <row r="60" spans="1:14" x14ac:dyDescent="0.25">
      <c r="A60" s="1" t="s">
        <v>1944</v>
      </c>
      <c r="H60" s="1" t="s">
        <v>1786</v>
      </c>
      <c r="J60" s="1" t="s">
        <v>904</v>
      </c>
      <c r="K60" s="1" t="s">
        <v>1786</v>
      </c>
      <c r="N60" s="1">
        <f>((8+2+36)*5+14)*2+((6+2+36)*5+14)*2</f>
        <v>956</v>
      </c>
    </row>
    <row r="61" spans="1:14" x14ac:dyDescent="0.25">
      <c r="A61" s="1" t="s">
        <v>204</v>
      </c>
      <c r="H61" s="1" t="s">
        <v>2252</v>
      </c>
      <c r="J61" s="1" t="s">
        <v>2440</v>
      </c>
      <c r="K61" s="1" t="s">
        <v>2440</v>
      </c>
      <c r="N61" s="1">
        <f>((8+2+36)+14)*2+((6+2+36)+14)*2</f>
        <v>236</v>
      </c>
    </row>
    <row r="62" spans="1:14" x14ac:dyDescent="0.25">
      <c r="A62" s="1" t="s">
        <v>2428</v>
      </c>
      <c r="H62" s="1" t="s">
        <v>949</v>
      </c>
    </row>
    <row r="63" spans="1:14" x14ac:dyDescent="0.25">
      <c r="A63" s="1" t="s">
        <v>2429</v>
      </c>
      <c r="D63" s="1">
        <f>3.5*5*2</f>
        <v>35</v>
      </c>
      <c r="H63" s="1" t="s">
        <v>2227</v>
      </c>
    </row>
    <row r="64" spans="1:14" x14ac:dyDescent="0.25">
      <c r="A64" s="1" t="s">
        <v>2430</v>
      </c>
      <c r="H64" s="1" t="s">
        <v>954</v>
      </c>
    </row>
    <row r="65" spans="1:19" x14ac:dyDescent="0.25">
      <c r="A65" s="1" t="s">
        <v>2431</v>
      </c>
      <c r="E65" s="1">
        <f>29*4</f>
        <v>116</v>
      </c>
      <c r="H65" s="1" t="s">
        <v>963</v>
      </c>
    </row>
    <row r="66" spans="1:19" x14ac:dyDescent="0.25">
      <c r="A66" s="1" t="s">
        <v>1931</v>
      </c>
    </row>
    <row r="67" spans="1:19" x14ac:dyDescent="0.25">
      <c r="M67" s="1">
        <f>3.5*5*2</f>
        <v>35</v>
      </c>
      <c r="P67" s="1">
        <f>(14*9+3)*3+80</f>
        <v>467</v>
      </c>
    </row>
    <row r="68" spans="1:19" x14ac:dyDescent="0.25">
      <c r="C68" s="1" t="s">
        <v>2442</v>
      </c>
      <c r="D68" s="1" t="s">
        <v>1150</v>
      </c>
      <c r="E68" s="1" t="s">
        <v>1093</v>
      </c>
      <c r="F68" s="1" t="s">
        <v>2073</v>
      </c>
      <c r="H68" s="1">
        <f>2+0.5+1+0.5</f>
        <v>4</v>
      </c>
    </row>
    <row r="69" spans="1:19" x14ac:dyDescent="0.25">
      <c r="B69" s="1" t="s">
        <v>212</v>
      </c>
      <c r="C69" s="1">
        <v>6</v>
      </c>
      <c r="D69" s="1">
        <v>14</v>
      </c>
      <c r="E69" s="1">
        <v>14</v>
      </c>
      <c r="F69" s="1">
        <v>14</v>
      </c>
    </row>
    <row r="70" spans="1:19" x14ac:dyDescent="0.25">
      <c r="B70" s="1" t="s">
        <v>1453</v>
      </c>
      <c r="C70" s="1">
        <v>-4</v>
      </c>
      <c r="D70" s="1">
        <v>-1</v>
      </c>
      <c r="E70" s="1">
        <v>-3</v>
      </c>
      <c r="J70" s="1" t="s">
        <v>1212</v>
      </c>
    </row>
    <row r="71" spans="1:19" x14ac:dyDescent="0.25">
      <c r="B71" s="1" t="s">
        <v>2443</v>
      </c>
      <c r="C71" s="1">
        <v>-3</v>
      </c>
      <c r="D71" s="1">
        <v>-2</v>
      </c>
      <c r="E71" s="1">
        <v>-3</v>
      </c>
      <c r="F71" s="1">
        <v>-3</v>
      </c>
      <c r="H71" s="1">
        <v>250000</v>
      </c>
      <c r="I71" s="1">
        <f>H71+675000</f>
        <v>925000</v>
      </c>
      <c r="J71" s="1" t="s">
        <v>2446</v>
      </c>
      <c r="M71" s="1" t="s">
        <v>2451</v>
      </c>
    </row>
    <row r="72" spans="1:19" x14ac:dyDescent="0.25">
      <c r="B72" s="1" t="s">
        <v>1225</v>
      </c>
      <c r="C72" s="1">
        <v>-1</v>
      </c>
      <c r="D72" s="1">
        <v>-1</v>
      </c>
      <c r="E72" s="1">
        <v>-1</v>
      </c>
      <c r="F72" s="1">
        <v>-1</v>
      </c>
      <c r="J72" s="1" t="s">
        <v>2413</v>
      </c>
    </row>
    <row r="73" spans="1:19" x14ac:dyDescent="0.25">
      <c r="B73" s="1" t="s">
        <v>1541</v>
      </c>
      <c r="C73" s="1">
        <v>-2</v>
      </c>
      <c r="H73" s="1">
        <v>90000</v>
      </c>
      <c r="I73" s="1">
        <f>H73+160000</f>
        <v>250000</v>
      </c>
      <c r="J73" s="1" t="s">
        <v>2445</v>
      </c>
      <c r="M73" s="1" t="s">
        <v>2450</v>
      </c>
    </row>
    <row r="74" spans="1:19" x14ac:dyDescent="0.25">
      <c r="B74" s="1" t="s">
        <v>824</v>
      </c>
      <c r="C74" s="1">
        <v>-2</v>
      </c>
      <c r="D74" s="1">
        <v>-2</v>
      </c>
      <c r="E74" s="1">
        <v>-1</v>
      </c>
      <c r="F74" s="1">
        <v>-1</v>
      </c>
      <c r="J74" s="1" t="s">
        <v>1815</v>
      </c>
      <c r="M74" s="1" t="s">
        <v>2449</v>
      </c>
    </row>
    <row r="75" spans="1:19" x14ac:dyDescent="0.25">
      <c r="B75" s="1" t="s">
        <v>1982</v>
      </c>
      <c r="C75" s="1">
        <v>-3</v>
      </c>
      <c r="J75" s="1" t="s">
        <v>100</v>
      </c>
      <c r="M75" s="1" t="s">
        <v>2448</v>
      </c>
    </row>
    <row r="76" spans="1:19" x14ac:dyDescent="0.25">
      <c r="B76" s="1" t="s">
        <v>2444</v>
      </c>
      <c r="E76" s="1">
        <v>2</v>
      </c>
    </row>
    <row r="77" spans="1:19" x14ac:dyDescent="0.25">
      <c r="J77" s="1">
        <f>5.5*10</f>
        <v>55</v>
      </c>
      <c r="N77" s="1" t="s">
        <v>1296</v>
      </c>
      <c r="O77" s="1" t="s">
        <v>1297</v>
      </c>
      <c r="P77" s="1" t="s">
        <v>1294</v>
      </c>
      <c r="Q77" s="1" t="s">
        <v>1304</v>
      </c>
      <c r="R77" s="1" t="s">
        <v>1299</v>
      </c>
      <c r="S77" s="1" t="s">
        <v>1298</v>
      </c>
    </row>
    <row r="78" spans="1:19" x14ac:dyDescent="0.25">
      <c r="N78" s="1" t="s">
        <v>2354</v>
      </c>
      <c r="O78" s="1" t="s">
        <v>2322</v>
      </c>
      <c r="P78" s="1" t="s">
        <v>2353</v>
      </c>
      <c r="Q78" s="1" t="s">
        <v>2454</v>
      </c>
      <c r="R78" s="1" t="s">
        <v>2415</v>
      </c>
      <c r="S78" s="1" t="s">
        <v>2031</v>
      </c>
    </row>
    <row r="79" spans="1:19" x14ac:dyDescent="0.25">
      <c r="N79" s="1" t="s">
        <v>2502</v>
      </c>
      <c r="O79" s="1" t="s">
        <v>1945</v>
      </c>
      <c r="P79" s="1" t="s">
        <v>2036</v>
      </c>
      <c r="Q79" s="1" t="s">
        <v>2462</v>
      </c>
      <c r="R79" s="1" t="s">
        <v>2457</v>
      </c>
      <c r="S79" s="1" t="s">
        <v>2461</v>
      </c>
    </row>
    <row r="80" spans="1:19" x14ac:dyDescent="0.25">
      <c r="C80" s="1">
        <f>SUM(C69:C79)</f>
        <v>-9</v>
      </c>
      <c r="D80" s="1">
        <f>SUM(D69:D79)</f>
        <v>8</v>
      </c>
      <c r="E80" s="1">
        <f>SUM(E69:E79)</f>
        <v>8</v>
      </c>
      <c r="F80" s="1">
        <f>SUM(F69:F79)</f>
        <v>9</v>
      </c>
      <c r="J80" s="1" t="s">
        <v>2446</v>
      </c>
      <c r="N80" s="1" t="s">
        <v>2355</v>
      </c>
      <c r="O80" s="1" t="s">
        <v>1946</v>
      </c>
      <c r="P80" s="1" t="s">
        <v>2330</v>
      </c>
      <c r="Q80" s="1" t="s">
        <v>2324</v>
      </c>
      <c r="R80" s="1" t="s">
        <v>2458</v>
      </c>
      <c r="S80" s="1" t="s">
        <v>416</v>
      </c>
    </row>
    <row r="81" spans="2:20" x14ac:dyDescent="0.25">
      <c r="N81" s="1" t="s">
        <v>2356</v>
      </c>
      <c r="O81" s="1" t="s">
        <v>2326</v>
      </c>
      <c r="P81" s="1" t="s">
        <v>2459</v>
      </c>
      <c r="Q81" s="1" t="s">
        <v>2455</v>
      </c>
      <c r="S81" s="1" t="s">
        <v>2417</v>
      </c>
    </row>
    <row r="82" spans="2:20" x14ac:dyDescent="0.25">
      <c r="N82" s="1" t="s">
        <v>1658</v>
      </c>
      <c r="O82" s="1" t="s">
        <v>2325</v>
      </c>
      <c r="P82" s="1" t="s">
        <v>1797</v>
      </c>
      <c r="Q82" s="1" t="s">
        <v>1926</v>
      </c>
      <c r="S82" s="1" t="s">
        <v>2463</v>
      </c>
    </row>
    <row r="83" spans="2:20" x14ac:dyDescent="0.25">
      <c r="E83" s="1">
        <f>0.7*0.6</f>
        <v>0.42</v>
      </c>
      <c r="F83" s="1">
        <f>0.7*0.4</f>
        <v>0.27999999999999997</v>
      </c>
      <c r="N83" s="1" t="s">
        <v>2468</v>
      </c>
      <c r="O83" s="1" t="s">
        <v>2328</v>
      </c>
      <c r="P83" s="1" t="s">
        <v>2476</v>
      </c>
      <c r="Q83" s="1" t="s">
        <v>2456</v>
      </c>
      <c r="S83" s="1" t="s">
        <v>2464</v>
      </c>
    </row>
    <row r="84" spans="2:20" x14ac:dyDescent="0.25">
      <c r="N84" s="1" t="s">
        <v>2469</v>
      </c>
      <c r="O84" s="1" t="s">
        <v>2329</v>
      </c>
      <c r="P84" s="1" t="s">
        <v>2460</v>
      </c>
      <c r="Q84" s="1" t="s">
        <v>1926</v>
      </c>
      <c r="S84" s="1" t="s">
        <v>2466</v>
      </c>
    </row>
    <row r="85" spans="2:20" x14ac:dyDescent="0.25">
      <c r="D85" s="1">
        <f>12/20</f>
        <v>0.6</v>
      </c>
      <c r="J85" s="1">
        <f>10*4.5</f>
        <v>45</v>
      </c>
      <c r="N85" s="1" t="s">
        <v>2042</v>
      </c>
      <c r="O85" s="1" t="s">
        <v>2327</v>
      </c>
      <c r="S85" s="1" t="s">
        <v>1930</v>
      </c>
    </row>
    <row r="86" spans="2:20" x14ac:dyDescent="0.25">
      <c r="I86" s="1">
        <f>45*5*3</f>
        <v>675</v>
      </c>
      <c r="N86" s="1" t="s">
        <v>2357</v>
      </c>
      <c r="O86" s="1" t="s">
        <v>2470</v>
      </c>
      <c r="S86" s="1" t="s">
        <v>2465</v>
      </c>
    </row>
    <row r="87" spans="2:20" x14ac:dyDescent="0.25">
      <c r="N87" s="1" t="s">
        <v>2358</v>
      </c>
      <c r="O87" s="1" t="s">
        <v>2045</v>
      </c>
      <c r="S87" s="1" t="s">
        <v>2467</v>
      </c>
    </row>
    <row r="88" spans="2:20" x14ac:dyDescent="0.25">
      <c r="B88" s="9" t="s">
        <v>2478</v>
      </c>
      <c r="C88" s="1">
        <f>20*4.5*3*0.4</f>
        <v>108</v>
      </c>
      <c r="F88" s="1" t="s">
        <v>2478</v>
      </c>
      <c r="I88" s="1" t="s">
        <v>2477</v>
      </c>
      <c r="L88" s="1" t="s">
        <v>2479</v>
      </c>
      <c r="N88" s="1" t="s">
        <v>2359</v>
      </c>
      <c r="O88" s="1" t="s">
        <v>2475</v>
      </c>
      <c r="S88" s="1" t="s">
        <v>2464</v>
      </c>
    </row>
    <row r="89" spans="2:20" x14ac:dyDescent="0.25">
      <c r="B89" s="1" t="s">
        <v>2413</v>
      </c>
      <c r="D89" s="1" t="s">
        <v>2496</v>
      </c>
      <c r="F89" s="1" t="s">
        <v>1212</v>
      </c>
      <c r="I89" s="1" t="s">
        <v>2280</v>
      </c>
      <c r="L89" s="1" t="s">
        <v>2299</v>
      </c>
      <c r="N89" s="1" t="s">
        <v>2360</v>
      </c>
      <c r="O89" s="1" t="s">
        <v>2452</v>
      </c>
      <c r="P89" s="1">
        <f>12/20</f>
        <v>0.6</v>
      </c>
    </row>
    <row r="90" spans="2:20" x14ac:dyDescent="0.25">
      <c r="B90" s="1" t="s">
        <v>1238</v>
      </c>
      <c r="D90" s="1" t="s">
        <v>2495</v>
      </c>
      <c r="F90" s="1" t="s">
        <v>2446</v>
      </c>
      <c r="I90" s="1" t="s">
        <v>2471</v>
      </c>
      <c r="L90" s="1" t="s">
        <v>2446</v>
      </c>
      <c r="O90" s="1" t="s">
        <v>2453</v>
      </c>
      <c r="P90" s="1">
        <v>0.5</v>
      </c>
    </row>
    <row r="91" spans="2:20" x14ac:dyDescent="0.25">
      <c r="B91" s="9" t="s">
        <v>1212</v>
      </c>
      <c r="C91" s="9"/>
      <c r="D91" s="9" t="s">
        <v>2413</v>
      </c>
      <c r="E91" s="9"/>
      <c r="F91" s="9" t="s">
        <v>2413</v>
      </c>
      <c r="G91" s="9"/>
      <c r="H91" s="9"/>
      <c r="I91" s="9" t="s">
        <v>2472</v>
      </c>
      <c r="J91" s="9"/>
      <c r="K91" s="9"/>
      <c r="L91" s="9" t="s">
        <v>1294</v>
      </c>
      <c r="M91" s="9"/>
      <c r="N91" s="9"/>
      <c r="O91" s="9"/>
      <c r="P91" s="9">
        <f>P89*P90*5.5*10</f>
        <v>16.5</v>
      </c>
    </row>
    <row r="92" spans="2:20" x14ac:dyDescent="0.25">
      <c r="B92" s="9" t="s">
        <v>1282</v>
      </c>
      <c r="C92" s="9"/>
      <c r="D92" s="9" t="s">
        <v>1238</v>
      </c>
      <c r="E92" s="9"/>
      <c r="F92" s="9" t="s">
        <v>2445</v>
      </c>
      <c r="G92" s="9"/>
      <c r="H92" s="9"/>
      <c r="I92" s="9" t="s">
        <v>1489</v>
      </c>
      <c r="J92" s="9"/>
      <c r="K92" s="9"/>
      <c r="L92" s="9" t="s">
        <v>2191</v>
      </c>
      <c r="M92" s="9"/>
      <c r="N92" s="9"/>
      <c r="O92" s="9"/>
      <c r="P92" s="9"/>
    </row>
    <row r="93" spans="2:20" x14ac:dyDescent="0.25">
      <c r="B93" s="9" t="s">
        <v>2505</v>
      </c>
      <c r="C93" s="9"/>
      <c r="D93" s="9" t="s">
        <v>1292</v>
      </c>
      <c r="E93" s="9"/>
      <c r="F93" s="9" t="s">
        <v>1815</v>
      </c>
      <c r="G93" s="9"/>
      <c r="H93" s="9"/>
      <c r="I93" s="9" t="s">
        <v>2473</v>
      </c>
      <c r="J93" s="9"/>
      <c r="K93" s="9"/>
      <c r="L93" s="9" t="s">
        <v>1304</v>
      </c>
      <c r="M93" s="9"/>
      <c r="N93" s="9"/>
      <c r="O93" s="9"/>
      <c r="P93" s="9"/>
    </row>
    <row r="94" spans="2:20" x14ac:dyDescent="0.25">
      <c r="B94" s="9" t="s">
        <v>549</v>
      </c>
      <c r="C94" s="9"/>
      <c r="D94" s="9"/>
      <c r="E94" s="9"/>
      <c r="F94" s="9" t="s">
        <v>100</v>
      </c>
      <c r="G94" s="9"/>
      <c r="H94" s="9"/>
      <c r="I94" s="9" t="s">
        <v>2474</v>
      </c>
      <c r="J94" s="9"/>
      <c r="K94" s="9"/>
      <c r="L94" s="9" t="s">
        <v>1298</v>
      </c>
      <c r="M94" s="9"/>
      <c r="N94" s="9"/>
      <c r="O94" s="9"/>
      <c r="P94" s="9"/>
      <c r="R94" s="6"/>
    </row>
    <row r="95" spans="2:20" x14ac:dyDescent="0.25">
      <c r="B95" s="9"/>
      <c r="C95" s="9"/>
      <c r="D95" s="9"/>
      <c r="E95" s="9"/>
      <c r="F95" s="9"/>
      <c r="G95" s="9"/>
      <c r="H95" s="9"/>
      <c r="I95" s="9"/>
      <c r="J95" s="9"/>
      <c r="K95" s="9"/>
      <c r="L95" s="9"/>
      <c r="M95" s="9"/>
      <c r="N95" s="9"/>
      <c r="O95" s="9"/>
      <c r="P95" s="9"/>
      <c r="S95" s="6"/>
      <c r="T95" s="6"/>
    </row>
    <row r="96" spans="2:20" x14ac:dyDescent="0.25">
      <c r="B96" s="9"/>
      <c r="C96" s="9"/>
      <c r="D96" s="9"/>
      <c r="E96" s="9"/>
      <c r="F96" s="9"/>
      <c r="G96" s="9">
        <f>3*3</f>
        <v>9</v>
      </c>
      <c r="H96" s="9"/>
      <c r="I96" s="9"/>
      <c r="J96" s="9"/>
      <c r="K96" s="9"/>
      <c r="L96" s="9"/>
      <c r="M96" s="9"/>
      <c r="N96" s="9"/>
      <c r="O96" s="9"/>
      <c r="P96" s="9"/>
      <c r="Q96" s="6"/>
      <c r="R96" s="9"/>
      <c r="S96" s="9"/>
    </row>
    <row r="97" spans="2:20" x14ac:dyDescent="0.25">
      <c r="B97" s="9"/>
      <c r="C97" s="9"/>
      <c r="D97" s="9"/>
      <c r="E97" s="9"/>
      <c r="F97" s="9"/>
      <c r="G97" s="9">
        <f>9*55</f>
        <v>495</v>
      </c>
      <c r="H97" s="9"/>
      <c r="I97" s="9"/>
      <c r="J97" s="9"/>
      <c r="K97" s="9"/>
      <c r="L97" s="9"/>
      <c r="M97" s="9" t="s">
        <v>2490</v>
      </c>
      <c r="N97" s="9"/>
      <c r="O97" s="9"/>
      <c r="P97" s="9"/>
      <c r="R97" s="9"/>
    </row>
    <row r="98" spans="2:20" x14ac:dyDescent="0.25">
      <c r="B98" s="9"/>
      <c r="C98" s="9"/>
      <c r="D98" s="9"/>
      <c r="E98" s="9"/>
      <c r="F98" s="9"/>
      <c r="G98" s="9"/>
      <c r="H98" s="9"/>
      <c r="I98" s="9"/>
      <c r="J98" s="9"/>
      <c r="K98" s="9"/>
      <c r="L98" s="9"/>
      <c r="M98" s="9"/>
      <c r="N98" s="9"/>
      <c r="O98" s="9"/>
      <c r="P98" s="9"/>
      <c r="Q98" s="6"/>
      <c r="R98" s="9"/>
      <c r="S98" s="9"/>
      <c r="T98" s="6"/>
    </row>
    <row r="99" spans="2:20" x14ac:dyDescent="0.25">
      <c r="B99" s="9"/>
      <c r="C99" s="9"/>
      <c r="D99" s="9"/>
      <c r="E99" s="9"/>
      <c r="F99" s="9"/>
      <c r="G99" s="9"/>
      <c r="H99" s="9"/>
      <c r="I99" s="9"/>
      <c r="J99" s="9">
        <f>4*(2+6)</f>
        <v>32</v>
      </c>
      <c r="K99" s="9"/>
      <c r="L99" s="9"/>
      <c r="M99" s="9" t="s">
        <v>871</v>
      </c>
      <c r="N99" s="9"/>
      <c r="O99" s="9" t="s">
        <v>830</v>
      </c>
      <c r="P99" s="9"/>
      <c r="Q99" s="6"/>
      <c r="R99" s="9"/>
      <c r="S99" s="9"/>
      <c r="T99" s="6"/>
    </row>
    <row r="100" spans="2:20" x14ac:dyDescent="0.25">
      <c r="B100" s="9"/>
      <c r="C100" s="9"/>
      <c r="D100" s="9"/>
      <c r="E100" s="9"/>
      <c r="F100" s="9"/>
      <c r="G100" s="9"/>
      <c r="H100" s="9"/>
      <c r="I100" s="9"/>
      <c r="J100" s="9"/>
      <c r="K100" s="9"/>
      <c r="L100" s="9"/>
      <c r="M100" s="9" t="s">
        <v>966</v>
      </c>
      <c r="N100" s="9"/>
      <c r="O100" s="9" t="s">
        <v>682</v>
      </c>
      <c r="P100" s="9"/>
      <c r="Q100" s="6"/>
      <c r="R100" s="9"/>
    </row>
    <row r="101" spans="2:20" x14ac:dyDescent="0.25">
      <c r="B101" s="9"/>
      <c r="C101" s="9"/>
      <c r="D101" s="9" t="s">
        <v>2299</v>
      </c>
      <c r="E101" s="9"/>
      <c r="F101" t="s">
        <v>633</v>
      </c>
      <c r="I101" s="9"/>
      <c r="J101" s="9"/>
      <c r="K101" s="9"/>
      <c r="L101" s="9"/>
      <c r="M101" s="9" t="s">
        <v>873</v>
      </c>
      <c r="N101" s="9"/>
      <c r="O101" s="9" t="s">
        <v>1715</v>
      </c>
      <c r="P101" s="9"/>
      <c r="R101" s="9"/>
      <c r="S101" s="9"/>
      <c r="T101" s="6"/>
    </row>
    <row r="102" spans="2:20" x14ac:dyDescent="0.25">
      <c r="B102" s="9"/>
      <c r="C102" s="9"/>
      <c r="D102" s="9" t="s">
        <v>2446</v>
      </c>
      <c r="E102" s="9"/>
      <c r="F102" s="9" t="s">
        <v>627</v>
      </c>
      <c r="G102" s="9" t="s">
        <v>2491</v>
      </c>
      <c r="H102" s="9"/>
      <c r="I102" s="9"/>
      <c r="J102" s="9"/>
      <c r="K102" s="9"/>
      <c r="L102" s="9"/>
      <c r="M102" s="9" t="s">
        <v>882</v>
      </c>
      <c r="N102" s="9"/>
      <c r="O102" s="9" t="s">
        <v>934</v>
      </c>
      <c r="P102" s="9"/>
      <c r="Q102" s="1" t="s">
        <v>925</v>
      </c>
      <c r="R102" s="9"/>
      <c r="S102" s="9"/>
      <c r="T102" s="6"/>
    </row>
    <row r="103" spans="2:20" x14ac:dyDescent="0.25">
      <c r="B103" s="9"/>
      <c r="C103" s="9"/>
      <c r="D103" s="9" t="s">
        <v>1294</v>
      </c>
      <c r="E103" s="9"/>
      <c r="G103" s="9"/>
      <c r="H103" s="9"/>
      <c r="I103" s="9"/>
      <c r="J103" s="9"/>
      <c r="K103" s="9"/>
      <c r="L103" s="9"/>
      <c r="M103" s="9" t="s">
        <v>2480</v>
      </c>
      <c r="N103" s="9"/>
      <c r="O103" s="9" t="s">
        <v>2482</v>
      </c>
      <c r="P103" s="9"/>
      <c r="Q103" s="6"/>
      <c r="R103" s="9"/>
      <c r="S103" s="9"/>
      <c r="T103" s="6"/>
    </row>
    <row r="104" spans="2:20" x14ac:dyDescent="0.25">
      <c r="B104" s="9"/>
      <c r="C104" s="9"/>
      <c r="D104" s="9" t="s">
        <v>2191</v>
      </c>
      <c r="E104" s="9"/>
      <c r="F104" s="9" t="s">
        <v>626</v>
      </c>
      <c r="G104" s="9"/>
      <c r="H104" s="9"/>
      <c r="I104" s="9"/>
      <c r="J104" s="9"/>
      <c r="K104" s="9"/>
      <c r="L104" s="9"/>
      <c r="M104" s="9" t="s">
        <v>647</v>
      </c>
      <c r="N104" s="9"/>
      <c r="O104" s="9" t="s">
        <v>2483</v>
      </c>
      <c r="P104" s="9"/>
      <c r="Q104" s="6"/>
      <c r="R104" s="9"/>
      <c r="S104" s="9"/>
    </row>
    <row r="105" spans="2:20" x14ac:dyDescent="0.25">
      <c r="B105" s="9"/>
      <c r="C105" s="9"/>
      <c r="D105" s="9" t="s">
        <v>1304</v>
      </c>
      <c r="E105" s="9"/>
      <c r="F105" s="9" t="s">
        <v>1492</v>
      </c>
      <c r="G105" s="9"/>
      <c r="H105" s="9"/>
      <c r="I105" s="9"/>
      <c r="J105" s="9"/>
      <c r="K105" s="9"/>
      <c r="L105" s="9"/>
      <c r="M105" s="9" t="s">
        <v>890</v>
      </c>
      <c r="N105" s="9"/>
      <c r="O105" s="9" t="s">
        <v>96</v>
      </c>
      <c r="P105" s="9"/>
      <c r="Q105" s="6"/>
      <c r="R105" s="9"/>
    </row>
    <row r="106" spans="2:20" x14ac:dyDescent="0.25">
      <c r="B106" s="9"/>
      <c r="C106" s="9"/>
      <c r="D106" s="9" t="s">
        <v>1298</v>
      </c>
      <c r="E106" s="9"/>
      <c r="F106" s="9"/>
      <c r="G106" s="9"/>
      <c r="H106" s="9"/>
      <c r="I106" s="9"/>
      <c r="J106" s="9"/>
      <c r="K106" s="9"/>
      <c r="L106" s="9"/>
      <c r="M106" s="9" t="s">
        <v>891</v>
      </c>
      <c r="N106" s="9"/>
      <c r="O106" s="9" t="s">
        <v>1997</v>
      </c>
      <c r="P106" s="9"/>
      <c r="R106" s="9"/>
      <c r="S106" s="9"/>
      <c r="T106" s="6"/>
    </row>
    <row r="107" spans="2:20" x14ac:dyDescent="0.25">
      <c r="B107" s="9"/>
      <c r="C107" s="9"/>
      <c r="D107" s="9"/>
      <c r="E107" s="9"/>
      <c r="F107" s="9"/>
      <c r="G107" s="9"/>
      <c r="H107" s="9"/>
      <c r="I107" s="9"/>
      <c r="J107" s="9"/>
      <c r="K107" s="9"/>
      <c r="L107" s="9"/>
      <c r="M107" s="9" t="s">
        <v>1996</v>
      </c>
      <c r="N107" s="9"/>
      <c r="O107" s="9" t="s">
        <v>689</v>
      </c>
      <c r="P107" s="9"/>
      <c r="R107" s="9"/>
      <c r="S107" s="9"/>
    </row>
    <row r="108" spans="2:20" x14ac:dyDescent="0.25">
      <c r="B108" s="9"/>
      <c r="C108" s="9"/>
      <c r="D108" s="9"/>
      <c r="E108" s="9"/>
      <c r="F108" s="9"/>
      <c r="G108" s="9"/>
      <c r="H108" s="9"/>
      <c r="I108" s="9"/>
      <c r="J108" s="9"/>
      <c r="K108" s="9"/>
      <c r="L108" s="9"/>
      <c r="M108" s="9" t="s">
        <v>903</v>
      </c>
      <c r="N108" s="9"/>
      <c r="O108" s="9" t="s">
        <v>935</v>
      </c>
      <c r="P108" s="9"/>
      <c r="R108" s="9"/>
    </row>
    <row r="109" spans="2:20" x14ac:dyDescent="0.25">
      <c r="B109" s="9"/>
      <c r="C109" s="9"/>
      <c r="D109" s="9" t="s">
        <v>2299</v>
      </c>
      <c r="E109" s="9"/>
      <c r="F109" s="9"/>
      <c r="G109" s="9"/>
      <c r="H109" s="9" t="s">
        <v>1297</v>
      </c>
      <c r="I109" s="9"/>
      <c r="J109" s="9"/>
      <c r="K109" s="9"/>
      <c r="L109" s="9"/>
      <c r="M109" s="9" t="s">
        <v>899</v>
      </c>
      <c r="N109" s="9"/>
      <c r="O109" s="9" t="s">
        <v>1566</v>
      </c>
      <c r="P109" s="9"/>
      <c r="R109" s="9"/>
      <c r="S109" s="9"/>
    </row>
    <row r="110" spans="2:20" x14ac:dyDescent="0.25">
      <c r="B110" s="9"/>
      <c r="C110" s="9"/>
      <c r="D110" s="9" t="s">
        <v>2446</v>
      </c>
      <c r="E110" s="9"/>
      <c r="F110" s="9"/>
      <c r="G110" s="9"/>
      <c r="H110" s="9" t="s">
        <v>1296</v>
      </c>
      <c r="I110" s="9"/>
      <c r="J110" s="9"/>
      <c r="K110" s="9"/>
      <c r="L110" s="9"/>
      <c r="M110" s="9" t="s">
        <v>1235</v>
      </c>
      <c r="N110" s="9"/>
      <c r="O110" s="9" t="s">
        <v>674</v>
      </c>
      <c r="P110" s="9"/>
      <c r="Q110" s="6"/>
      <c r="R110" s="9"/>
      <c r="S110" s="9"/>
    </row>
    <row r="111" spans="2:20" x14ac:dyDescent="0.25">
      <c r="B111" s="9"/>
      <c r="C111" s="9"/>
      <c r="D111" s="9" t="s">
        <v>2191</v>
      </c>
      <c r="E111" s="9"/>
      <c r="F111" s="9"/>
      <c r="G111" s="9"/>
      <c r="H111" s="9" t="s">
        <v>2413</v>
      </c>
      <c r="I111" s="9"/>
      <c r="J111" s="9"/>
      <c r="K111" s="9"/>
      <c r="L111" s="9"/>
      <c r="M111" s="9" t="s">
        <v>902</v>
      </c>
      <c r="N111" s="9"/>
      <c r="O111" s="9" t="s">
        <v>891</v>
      </c>
      <c r="P111" s="9"/>
      <c r="R111" s="9"/>
      <c r="S111" s="9"/>
    </row>
    <row r="112" spans="2:20" x14ac:dyDescent="0.25">
      <c r="B112" s="9"/>
      <c r="C112" s="9"/>
      <c r="D112" s="9" t="s">
        <v>1294</v>
      </c>
      <c r="E112" s="9"/>
      <c r="F112" s="9"/>
      <c r="G112" s="9"/>
      <c r="H112" s="9" t="s">
        <v>2191</v>
      </c>
      <c r="I112" s="9"/>
      <c r="J112" s="9"/>
      <c r="K112" s="9"/>
      <c r="L112" s="9"/>
      <c r="M112" s="9" t="s">
        <v>1904</v>
      </c>
      <c r="N112" s="9"/>
      <c r="O112" s="9" t="s">
        <v>2484</v>
      </c>
      <c r="P112" s="9"/>
      <c r="R112" s="9"/>
      <c r="S112" s="9"/>
    </row>
    <row r="113" spans="2:20" x14ac:dyDescent="0.25">
      <c r="B113" s="9"/>
      <c r="C113" s="9"/>
      <c r="D113" s="9" t="s">
        <v>1298</v>
      </c>
      <c r="E113" s="9"/>
      <c r="F113" s="9"/>
      <c r="G113" s="9"/>
      <c r="H113" s="9"/>
      <c r="I113" s="9"/>
      <c r="J113" s="9"/>
      <c r="K113" s="9"/>
      <c r="L113" s="9"/>
      <c r="M113" s="9" t="s">
        <v>974</v>
      </c>
      <c r="N113" s="9"/>
      <c r="O113" s="9" t="s">
        <v>738</v>
      </c>
      <c r="P113" s="9"/>
      <c r="R113" s="9"/>
    </row>
    <row r="114" spans="2:20" x14ac:dyDescent="0.25">
      <c r="B114" s="9"/>
      <c r="C114" s="9"/>
      <c r="D114" s="9" t="s">
        <v>1304</v>
      </c>
      <c r="E114" s="9"/>
      <c r="F114" s="9"/>
      <c r="G114" s="9"/>
      <c r="H114" s="9"/>
      <c r="I114" s="9"/>
      <c r="J114" s="9"/>
      <c r="K114" s="9"/>
      <c r="L114" s="9"/>
      <c r="M114" s="9" t="s">
        <v>904</v>
      </c>
      <c r="N114" s="9"/>
      <c r="O114" s="9" t="s">
        <v>849</v>
      </c>
      <c r="P114" s="9"/>
      <c r="S114" s="9"/>
      <c r="T114" s="6"/>
    </row>
    <row r="115" spans="2:20" x14ac:dyDescent="0.25">
      <c r="B115" s="9"/>
      <c r="C115" s="9"/>
      <c r="D115" s="9"/>
      <c r="E115" s="9"/>
      <c r="F115" s="9"/>
      <c r="G115" s="9"/>
      <c r="H115" s="9"/>
      <c r="I115" s="9"/>
      <c r="J115" s="9"/>
      <c r="K115" s="9"/>
      <c r="L115" s="9"/>
      <c r="M115" s="9" t="s">
        <v>982</v>
      </c>
      <c r="N115" s="9"/>
      <c r="O115" s="9" t="s">
        <v>1484</v>
      </c>
      <c r="P115" s="9"/>
      <c r="S115" s="9"/>
    </row>
    <row r="116" spans="2:20" x14ac:dyDescent="0.25">
      <c r="B116" s="9" t="s">
        <v>2506</v>
      </c>
      <c r="C116" s="9"/>
      <c r="D116" s="9"/>
      <c r="E116" s="9" t="s">
        <v>2478</v>
      </c>
      <c r="F116" s="9"/>
      <c r="G116" s="9">
        <f>1.5+7+1</f>
        <v>9.5</v>
      </c>
      <c r="H116" s="9">
        <f>10-4-2-2</f>
        <v>2</v>
      </c>
      <c r="I116" s="9"/>
      <c r="J116" s="9"/>
      <c r="K116" s="9"/>
      <c r="L116" s="9"/>
      <c r="M116" s="9" t="s">
        <v>984</v>
      </c>
      <c r="N116" s="9"/>
      <c r="O116" s="9" t="s">
        <v>947</v>
      </c>
      <c r="P116" s="9"/>
      <c r="S116" s="9"/>
    </row>
    <row r="117" spans="2:20" x14ac:dyDescent="0.25">
      <c r="C117" s="9"/>
      <c r="D117" s="9"/>
      <c r="E117" s="9"/>
      <c r="F117" s="9"/>
      <c r="G117" s="9"/>
      <c r="H117" s="9"/>
      <c r="I117" s="9"/>
      <c r="J117" s="9"/>
      <c r="K117" s="9"/>
      <c r="L117" s="9"/>
      <c r="M117" s="9" t="s">
        <v>906</v>
      </c>
      <c r="N117" s="9"/>
      <c r="O117" s="9" t="s">
        <v>945</v>
      </c>
      <c r="P117" s="9"/>
      <c r="S117" s="9"/>
      <c r="T117" s="6"/>
    </row>
    <row r="118" spans="2:20" x14ac:dyDescent="0.25">
      <c r="B118" s="9" t="s">
        <v>1296</v>
      </c>
      <c r="C118" s="9"/>
      <c r="D118" s="9"/>
      <c r="E118" s="9" t="s">
        <v>2508</v>
      </c>
      <c r="F118" s="9"/>
      <c r="G118" s="9"/>
      <c r="H118" s="9"/>
      <c r="I118" s="9"/>
      <c r="J118" s="9"/>
      <c r="K118" s="9"/>
      <c r="L118" s="9"/>
      <c r="M118" s="9" t="s">
        <v>2135</v>
      </c>
      <c r="N118" s="9"/>
      <c r="O118" s="9" t="s">
        <v>681</v>
      </c>
      <c r="P118" s="9"/>
      <c r="S118" s="9"/>
    </row>
    <row r="119" spans="2:20" x14ac:dyDescent="0.25">
      <c r="B119" s="9" t="s">
        <v>2280</v>
      </c>
      <c r="C119" s="9"/>
      <c r="D119" s="9"/>
      <c r="E119" s="9" t="s">
        <v>2509</v>
      </c>
      <c r="F119" s="9"/>
      <c r="G119" s="9"/>
      <c r="H119" s="9"/>
      <c r="I119" s="9"/>
      <c r="J119" s="9"/>
      <c r="K119" s="9"/>
      <c r="L119" s="9"/>
      <c r="M119" s="9" t="s">
        <v>920</v>
      </c>
      <c r="N119" s="9"/>
      <c r="O119" s="9" t="s">
        <v>2485</v>
      </c>
      <c r="P119" s="9"/>
    </row>
    <row r="120" spans="2:20" x14ac:dyDescent="0.25">
      <c r="B120" s="9" t="s">
        <v>1808</v>
      </c>
      <c r="C120" s="9"/>
      <c r="D120" s="9"/>
      <c r="E120" s="9" t="s">
        <v>989</v>
      </c>
      <c r="F120" s="9"/>
      <c r="G120" s="9"/>
      <c r="H120" s="9"/>
      <c r="I120" s="9"/>
      <c r="J120" s="9"/>
      <c r="K120" s="9"/>
      <c r="L120" s="9"/>
      <c r="M120" s="9" t="s">
        <v>2481</v>
      </c>
      <c r="N120" s="9"/>
      <c r="O120" s="9" t="s">
        <v>860</v>
      </c>
      <c r="P120" s="9"/>
    </row>
    <row r="121" spans="2:20" x14ac:dyDescent="0.25">
      <c r="B121" s="9" t="s">
        <v>552</v>
      </c>
      <c r="C121" s="9"/>
      <c r="D121" s="9"/>
      <c r="E121" s="9" t="s">
        <v>2441</v>
      </c>
      <c r="F121" s="9"/>
      <c r="G121" s="9"/>
      <c r="H121" s="9"/>
      <c r="I121" s="9"/>
      <c r="J121" s="9"/>
      <c r="K121" s="9"/>
      <c r="L121" s="9"/>
      <c r="M121" s="9" t="s">
        <v>916</v>
      </c>
      <c r="N121" s="9"/>
      <c r="O121" s="9" t="s">
        <v>857</v>
      </c>
      <c r="P121" s="9"/>
    </row>
    <row r="122" spans="2:20" x14ac:dyDescent="0.25">
      <c r="B122" s="9" t="s">
        <v>2507</v>
      </c>
      <c r="C122" s="9"/>
      <c r="D122" s="9"/>
      <c r="E122" s="1" t="s">
        <v>1212</v>
      </c>
      <c r="F122" s="9"/>
      <c r="G122" s="9"/>
      <c r="H122" s="9"/>
      <c r="I122" s="9" t="s">
        <v>1597</v>
      </c>
      <c r="J122" s="9"/>
      <c r="K122" s="9"/>
      <c r="L122" s="9"/>
      <c r="M122" s="9" t="s">
        <v>1454</v>
      </c>
      <c r="N122" s="9"/>
      <c r="O122" s="9" t="s">
        <v>859</v>
      </c>
      <c r="P122" s="9"/>
    </row>
    <row r="123" spans="2:20" x14ac:dyDescent="0.25">
      <c r="B123" s="9" t="s">
        <v>1301</v>
      </c>
      <c r="C123" s="9"/>
      <c r="D123" s="9"/>
      <c r="F123" s="9"/>
      <c r="G123" s="9"/>
      <c r="H123" s="9"/>
      <c r="I123" s="9" t="s">
        <v>1630</v>
      </c>
      <c r="J123" s="9"/>
      <c r="K123" s="9"/>
      <c r="L123" s="9"/>
      <c r="M123" s="9" t="s">
        <v>2278</v>
      </c>
      <c r="N123" s="9"/>
      <c r="O123" s="9" t="s">
        <v>858</v>
      </c>
      <c r="P123" s="9"/>
    </row>
    <row r="124" spans="2:20" x14ac:dyDescent="0.25">
      <c r="B124" s="9" t="s">
        <v>2307</v>
      </c>
      <c r="C124" s="9"/>
      <c r="D124" s="9"/>
      <c r="E124" s="9"/>
      <c r="F124" s="9"/>
      <c r="G124" s="9"/>
      <c r="H124" s="9"/>
      <c r="I124" s="9" t="s">
        <v>671</v>
      </c>
      <c r="J124" s="9"/>
      <c r="K124" s="9"/>
      <c r="L124" s="9"/>
      <c r="M124" s="9"/>
      <c r="N124" s="9"/>
      <c r="O124" s="9" t="s">
        <v>856</v>
      </c>
      <c r="P124" s="9"/>
    </row>
    <row r="125" spans="2:20" x14ac:dyDescent="0.25">
      <c r="B125" s="9" t="s">
        <v>2116</v>
      </c>
      <c r="C125" s="9"/>
      <c r="D125" s="9"/>
      <c r="E125" s="9"/>
      <c r="F125" s="9"/>
      <c r="G125" s="9"/>
      <c r="H125" s="9"/>
      <c r="I125" s="9" t="s">
        <v>1869</v>
      </c>
      <c r="J125" s="9"/>
      <c r="K125" s="9"/>
      <c r="L125" s="9"/>
      <c r="M125" s="9"/>
      <c r="N125" s="9"/>
      <c r="O125" s="9" t="s">
        <v>862</v>
      </c>
      <c r="P125" s="9"/>
    </row>
    <row r="126" spans="2:20" x14ac:dyDescent="0.25">
      <c r="B126" s="9" t="s">
        <v>101</v>
      </c>
      <c r="C126" s="9"/>
      <c r="D126" s="9"/>
      <c r="E126" s="9" t="s">
        <v>1815</v>
      </c>
      <c r="F126" s="9"/>
      <c r="G126" s="9"/>
      <c r="H126" s="9"/>
      <c r="I126" s="9"/>
      <c r="J126" s="9"/>
      <c r="K126" s="9"/>
      <c r="L126" s="9"/>
      <c r="M126" s="9"/>
      <c r="N126" s="9"/>
      <c r="O126" s="9" t="s">
        <v>863</v>
      </c>
      <c r="P126" s="9"/>
    </row>
    <row r="127" spans="2:20" x14ac:dyDescent="0.25">
      <c r="B127" s="9"/>
      <c r="C127" s="9"/>
      <c r="D127" s="9"/>
      <c r="E127" s="9" t="s">
        <v>100</v>
      </c>
      <c r="F127" s="9"/>
      <c r="G127" s="9"/>
      <c r="H127" s="9"/>
      <c r="I127" s="9"/>
      <c r="J127" s="9"/>
      <c r="K127" s="9"/>
      <c r="L127" s="9"/>
      <c r="M127" s="9"/>
      <c r="N127" s="9"/>
      <c r="O127" s="9" t="s">
        <v>2486</v>
      </c>
      <c r="P127" s="9"/>
    </row>
    <row r="128" spans="2:20" x14ac:dyDescent="0.25">
      <c r="B128" s="9"/>
      <c r="C128" s="9"/>
      <c r="D128" s="9"/>
      <c r="E128" s="9"/>
      <c r="F128" s="9"/>
      <c r="G128" s="9"/>
      <c r="H128" s="9"/>
      <c r="I128" s="9"/>
      <c r="J128" s="9">
        <f>3.5*3*10</f>
        <v>105</v>
      </c>
      <c r="K128" s="9"/>
      <c r="L128" s="9"/>
      <c r="M128" s="9"/>
      <c r="N128" s="9"/>
      <c r="O128" s="9" t="s">
        <v>747</v>
      </c>
      <c r="P128" s="9"/>
    </row>
    <row r="129" spans="2:16" x14ac:dyDescent="0.25">
      <c r="B129" s="9"/>
      <c r="C129" s="9"/>
      <c r="D129" s="9"/>
      <c r="E129" s="9"/>
      <c r="F129" s="9"/>
      <c r="G129" s="9"/>
      <c r="H129" s="9"/>
      <c r="I129" s="9"/>
      <c r="J129" s="9">
        <f>5.5+2+7+5+3+3</f>
        <v>25.5</v>
      </c>
      <c r="K129" s="9"/>
      <c r="L129" s="9"/>
      <c r="M129" s="9"/>
      <c r="N129" s="9"/>
      <c r="O129" s="9" t="s">
        <v>2487</v>
      </c>
      <c r="P129" s="9"/>
    </row>
    <row r="130" spans="2:16" x14ac:dyDescent="0.25">
      <c r="B130" s="9"/>
      <c r="C130" s="9"/>
      <c r="D130" s="9" t="s">
        <v>2299</v>
      </c>
      <c r="E130" s="9"/>
      <c r="F130" s="9" t="s">
        <v>2494</v>
      </c>
      <c r="G130" s="9" t="s">
        <v>633</v>
      </c>
      <c r="H130" s="9"/>
      <c r="I130" s="9"/>
      <c r="J130" s="9">
        <f>J129*(1+0.5+0.5+1)</f>
        <v>76.5</v>
      </c>
      <c r="K130" s="9"/>
      <c r="L130" s="9"/>
      <c r="M130" s="9"/>
      <c r="N130" s="9"/>
      <c r="O130" s="9" t="s">
        <v>865</v>
      </c>
      <c r="P130" s="9"/>
    </row>
    <row r="131" spans="2:16" x14ac:dyDescent="0.25">
      <c r="B131" s="9"/>
      <c r="C131" s="9"/>
      <c r="D131" s="9" t="s">
        <v>2446</v>
      </c>
      <c r="E131" s="9"/>
      <c r="F131" s="9" t="s">
        <v>2492</v>
      </c>
      <c r="G131" s="9" t="s">
        <v>627</v>
      </c>
      <c r="H131" s="9"/>
      <c r="I131" s="9"/>
      <c r="J131" s="9"/>
      <c r="K131" s="9"/>
      <c r="L131" s="9"/>
      <c r="M131" s="9"/>
      <c r="N131" s="9"/>
      <c r="O131" s="9" t="s">
        <v>2488</v>
      </c>
      <c r="P131" s="9"/>
    </row>
    <row r="132" spans="2:16" x14ac:dyDescent="0.25">
      <c r="B132" s="9"/>
      <c r="C132" s="9"/>
      <c r="D132" s="9" t="s">
        <v>2191</v>
      </c>
      <c r="E132" s="9"/>
      <c r="F132" s="9" t="s">
        <v>626</v>
      </c>
      <c r="G132" s="9" t="s">
        <v>626</v>
      </c>
      <c r="H132" s="9"/>
      <c r="I132" s="9"/>
      <c r="J132" s="9"/>
      <c r="K132" s="9"/>
      <c r="L132" s="9"/>
      <c r="M132" s="9"/>
      <c r="N132" s="9"/>
      <c r="O132" s="9" t="s">
        <v>2489</v>
      </c>
      <c r="P132" s="9"/>
    </row>
    <row r="133" spans="2:16" x14ac:dyDescent="0.25">
      <c r="D133" s="9" t="s">
        <v>1294</v>
      </c>
      <c r="F133" s="9" t="s">
        <v>2491</v>
      </c>
      <c r="G133" s="9" t="s">
        <v>631</v>
      </c>
      <c r="O133" s="1" t="s">
        <v>2340</v>
      </c>
    </row>
    <row r="134" spans="2:16" x14ac:dyDescent="0.25">
      <c r="D134" s="9" t="s">
        <v>1298</v>
      </c>
      <c r="F134" s="9" t="s">
        <v>2493</v>
      </c>
      <c r="G134" t="s">
        <v>1493</v>
      </c>
      <c r="O134" s="1" t="s">
        <v>1454</v>
      </c>
    </row>
    <row r="135" spans="2:16" x14ac:dyDescent="0.25">
      <c r="D135" s="9" t="s">
        <v>1304</v>
      </c>
      <c r="F135" t="s">
        <v>1492</v>
      </c>
      <c r="G135" t="s">
        <v>1492</v>
      </c>
      <c r="O135" s="1" t="s">
        <v>1231</v>
      </c>
    </row>
    <row r="137" spans="2:16" x14ac:dyDescent="0.25">
      <c r="D137" s="9" t="s">
        <v>633</v>
      </c>
      <c r="H137" t="s">
        <v>626</v>
      </c>
      <c r="I137" s="1">
        <f>6*7</f>
        <v>42</v>
      </c>
      <c r="J137" t="s">
        <v>631</v>
      </c>
      <c r="L137" t="s">
        <v>1493</v>
      </c>
      <c r="N137" t="s">
        <v>1492</v>
      </c>
    </row>
    <row r="138" spans="2:16" x14ac:dyDescent="0.25">
      <c r="D138" s="9" t="s">
        <v>2299</v>
      </c>
      <c r="F138" s="9" t="s">
        <v>2446</v>
      </c>
      <c r="H138" s="9" t="s">
        <v>2191</v>
      </c>
      <c r="J138" s="9" t="s">
        <v>1294</v>
      </c>
      <c r="L138" s="9" t="s">
        <v>1298</v>
      </c>
      <c r="N138" s="9" t="s">
        <v>1304</v>
      </c>
    </row>
    <row r="139" spans="2:16" x14ac:dyDescent="0.25">
      <c r="C139" t="s">
        <v>155</v>
      </c>
      <c r="D139" s="1">
        <v>11</v>
      </c>
      <c r="F139" s="1">
        <v>9</v>
      </c>
      <c r="J139" s="1">
        <v>8</v>
      </c>
      <c r="L139" s="1">
        <v>9</v>
      </c>
      <c r="P139" s="1">
        <v>3</v>
      </c>
    </row>
    <row r="140" spans="2:16" x14ac:dyDescent="0.25">
      <c r="C140" t="s">
        <v>1241</v>
      </c>
      <c r="D140" s="1">
        <v>7</v>
      </c>
      <c r="F140" s="1">
        <v>18</v>
      </c>
      <c r="J140" s="1">
        <v>18</v>
      </c>
      <c r="L140" s="1">
        <v>18</v>
      </c>
      <c r="P140" s="1">
        <v>-5</v>
      </c>
    </row>
    <row r="141" spans="2:16" x14ac:dyDescent="0.25">
      <c r="C141" t="s">
        <v>1242</v>
      </c>
      <c r="D141" s="1">
        <v>16</v>
      </c>
      <c r="F141" s="1">
        <v>16</v>
      </c>
      <c r="J141" s="1">
        <v>16</v>
      </c>
      <c r="L141" s="1">
        <v>16</v>
      </c>
      <c r="P141" s="1">
        <v>-1</v>
      </c>
    </row>
    <row r="142" spans="2:16" x14ac:dyDescent="0.25">
      <c r="C142" t="s">
        <v>1243</v>
      </c>
      <c r="D142" s="1">
        <v>18</v>
      </c>
      <c r="F142" s="1">
        <v>18</v>
      </c>
      <c r="J142" s="1">
        <v>18</v>
      </c>
      <c r="L142" s="1">
        <v>18</v>
      </c>
      <c r="P142" s="1">
        <v>-2</v>
      </c>
    </row>
    <row r="143" spans="2:16" x14ac:dyDescent="0.25">
      <c r="C143" t="s">
        <v>1244</v>
      </c>
      <c r="D143" s="1">
        <v>18</v>
      </c>
      <c r="F143" s="1">
        <v>18</v>
      </c>
      <c r="J143" s="1">
        <v>18</v>
      </c>
      <c r="L143" s="1">
        <v>18</v>
      </c>
      <c r="P143" s="1">
        <v>-4</v>
      </c>
    </row>
    <row r="144" spans="2:16" x14ac:dyDescent="0.25">
      <c r="C144" t="s">
        <v>1245</v>
      </c>
      <c r="D144" s="1">
        <v>16</v>
      </c>
      <c r="F144" s="1">
        <v>7</v>
      </c>
      <c r="J144" s="1">
        <v>10</v>
      </c>
      <c r="L144" s="1">
        <v>7</v>
      </c>
      <c r="P144" s="1">
        <v>-4</v>
      </c>
    </row>
    <row r="145" spans="3:17" x14ac:dyDescent="0.25">
      <c r="D145" s="1">
        <f>SUM(D139:D144)</f>
        <v>86</v>
      </c>
      <c r="F145" s="1">
        <f>SUM(F139:F144)</f>
        <v>86</v>
      </c>
      <c r="H145" s="1">
        <f>SUM(H139:H144)</f>
        <v>0</v>
      </c>
      <c r="J145" s="1">
        <f>SUM(J139:J144)</f>
        <v>88</v>
      </c>
      <c r="L145" s="1">
        <f>SUM(L139:L144)</f>
        <v>86</v>
      </c>
      <c r="N145" s="1">
        <f>SUM(N139:N144)</f>
        <v>0</v>
      </c>
    </row>
    <row r="146" spans="3:17" x14ac:dyDescent="0.25">
      <c r="P146" s="1">
        <f>-4*4</f>
        <v>-16</v>
      </c>
    </row>
    <row r="147" spans="3:17" x14ac:dyDescent="0.25">
      <c r="Q147" s="1">
        <f>3.5+5+7+1</f>
        <v>16.5</v>
      </c>
    </row>
    <row r="148" spans="3:17" x14ac:dyDescent="0.25">
      <c r="C148" s="1">
        <f>1-4-1-2-2-1-1</f>
        <v>-10</v>
      </c>
      <c r="D148" s="1">
        <f>5*(5.5+3+1+1+1+5+3+2)</f>
        <v>107.5</v>
      </c>
      <c r="Q148" s="1">
        <f>Q147*4</f>
        <v>66</v>
      </c>
    </row>
    <row r="149" spans="3:17" x14ac:dyDescent="0.25">
      <c r="D149" s="1">
        <f>4*(5+2+2+3)</f>
        <v>48</v>
      </c>
      <c r="P149" s="1">
        <f>SUM(P139:P148)</f>
        <v>-29</v>
      </c>
    </row>
    <row r="151" spans="3:17" x14ac:dyDescent="0.25">
      <c r="I151"/>
    </row>
    <row r="152" spans="3:17" x14ac:dyDescent="0.25">
      <c r="I152"/>
    </row>
    <row r="157" spans="3:17" x14ac:dyDescent="0.25">
      <c r="N157"/>
    </row>
    <row r="158" spans="3:17" x14ac:dyDescent="0.25">
      <c r="N158"/>
    </row>
    <row r="159" spans="3:17" x14ac:dyDescent="0.25">
      <c r="N159"/>
    </row>
    <row r="160" spans="3:17" x14ac:dyDescent="0.25">
      <c r="N160"/>
    </row>
    <row r="161" spans="2:15" x14ac:dyDescent="0.25">
      <c r="N161"/>
    </row>
    <row r="162" spans="2:15" x14ac:dyDescent="0.25">
      <c r="N162"/>
    </row>
    <row r="165" spans="2:15" x14ac:dyDescent="0.25">
      <c r="L165" s="1">
        <f>4*(3.5+3+2+3+5+2)*0.5</f>
        <v>37</v>
      </c>
      <c r="N165" s="1">
        <f>5+2+2+4+2+1-5</f>
        <v>11</v>
      </c>
    </row>
    <row r="166" spans="2:15" x14ac:dyDescent="0.25">
      <c r="E166" t="s">
        <v>1845</v>
      </c>
      <c r="L166" s="1">
        <f>L165*11</f>
        <v>407</v>
      </c>
    </row>
    <row r="167" spans="2:15" x14ac:dyDescent="0.25">
      <c r="B167" s="1" t="s">
        <v>2740</v>
      </c>
      <c r="C167"/>
      <c r="E167" t="s">
        <v>1845</v>
      </c>
      <c r="H167" t="s">
        <v>1294</v>
      </c>
    </row>
    <row r="168" spans="2:15" x14ac:dyDescent="0.25">
      <c r="B168" s="1" t="s">
        <v>2743</v>
      </c>
      <c r="E168" t="s">
        <v>1845</v>
      </c>
      <c r="H168" t="s">
        <v>2736</v>
      </c>
      <c r="O168" s="1">
        <f>0.55^3</f>
        <v>0.16637500000000005</v>
      </c>
    </row>
    <row r="169" spans="2:15" x14ac:dyDescent="0.25">
      <c r="B169" s="1" t="s">
        <v>1851</v>
      </c>
      <c r="C169"/>
      <c r="E169" t="s">
        <v>1287</v>
      </c>
      <c r="H169" t="s">
        <v>1287</v>
      </c>
      <c r="J169" s="1">
        <f>300000*6*4</f>
        <v>7200000</v>
      </c>
      <c r="L169" s="1">
        <f>3.5*5*2*6</f>
        <v>210</v>
      </c>
      <c r="O169" s="1">
        <f>0.65^3</f>
        <v>0.27462500000000006</v>
      </c>
    </row>
    <row r="170" spans="2:15" x14ac:dyDescent="0.25">
      <c r="B170" s="1" t="s">
        <v>1507</v>
      </c>
      <c r="C170"/>
      <c r="E170" t="s">
        <v>2117</v>
      </c>
    </row>
    <row r="171" spans="2:15" x14ac:dyDescent="0.25">
      <c r="B171" s="1" t="s">
        <v>1627</v>
      </c>
      <c r="C171"/>
    </row>
    <row r="172" spans="2:15" x14ac:dyDescent="0.25">
      <c r="B172" s="1" t="s">
        <v>2739</v>
      </c>
      <c r="E172" s="1" t="s">
        <v>2737</v>
      </c>
    </row>
    <row r="173" spans="2:15" x14ac:dyDescent="0.25">
      <c r="B173" s="1" t="s">
        <v>1631</v>
      </c>
      <c r="E173" s="1" t="s">
        <v>1492</v>
      </c>
    </row>
    <row r="174" spans="2:15" x14ac:dyDescent="0.25">
      <c r="B174" s="1" t="s">
        <v>1597</v>
      </c>
      <c r="I174" s="1">
        <f>3.5+3+3+5</f>
        <v>14.5</v>
      </c>
    </row>
    <row r="175" spans="2:15" x14ac:dyDescent="0.25">
      <c r="B175" t="s">
        <v>2741</v>
      </c>
      <c r="I175" s="1">
        <f>I174*(2+0.5+0.5+0.5)</f>
        <v>50.75</v>
      </c>
    </row>
    <row r="179" spans="3:12" x14ac:dyDescent="0.25">
      <c r="E179" s="1">
        <f>10+2+10</f>
        <v>22</v>
      </c>
      <c r="L179" s="1">
        <f>10+1+11+2</f>
        <v>24</v>
      </c>
    </row>
    <row r="180" spans="3:12" x14ac:dyDescent="0.25">
      <c r="E180" s="1">
        <f>E179*5</f>
        <v>110</v>
      </c>
      <c r="H180" s="1">
        <v>12</v>
      </c>
      <c r="I180" s="1">
        <v>12</v>
      </c>
      <c r="L180" s="1">
        <f>L179*5</f>
        <v>120</v>
      </c>
    </row>
    <row r="181" spans="3:12" x14ac:dyDescent="0.25">
      <c r="C181" s="1">
        <f>5*6</f>
        <v>30</v>
      </c>
      <c r="G181" t="s">
        <v>2001</v>
      </c>
      <c r="H181" s="1">
        <v>-4</v>
      </c>
      <c r="I181" s="1">
        <v>-5</v>
      </c>
      <c r="K181"/>
    </row>
    <row r="182" spans="3:12" x14ac:dyDescent="0.25">
      <c r="C182" s="1">
        <f>C181*0.05</f>
        <v>1.5</v>
      </c>
      <c r="E182" s="1">
        <f>E180*0.3*0.75</f>
        <v>24.75</v>
      </c>
      <c r="K182"/>
      <c r="L182" s="1">
        <f>L180*0.3*0.75</f>
        <v>27</v>
      </c>
    </row>
    <row r="183" spans="3:12" x14ac:dyDescent="0.25">
      <c r="E183" s="1">
        <f>E182*6</f>
        <v>148.5</v>
      </c>
      <c r="G183" t="s">
        <v>1453</v>
      </c>
      <c r="H183" s="1">
        <v>-2</v>
      </c>
      <c r="I183" s="1">
        <v>-1</v>
      </c>
      <c r="K183"/>
      <c r="L183" s="1">
        <f>L182*6</f>
        <v>162</v>
      </c>
    </row>
    <row r="184" spans="3:12" x14ac:dyDescent="0.25">
      <c r="D184" s="1">
        <f>350*0.15</f>
        <v>52.5</v>
      </c>
      <c r="E184" s="1">
        <f>D184+E183</f>
        <v>201</v>
      </c>
      <c r="G184" t="s">
        <v>1225</v>
      </c>
      <c r="H184" s="1">
        <v>-1</v>
      </c>
      <c r="I184" s="1">
        <v>-1</v>
      </c>
      <c r="K184"/>
      <c r="L184" s="1">
        <f>(350*3+80)/L183</f>
        <v>6.9753086419753085</v>
      </c>
    </row>
    <row r="185" spans="3:12" x14ac:dyDescent="0.25">
      <c r="D185" s="1">
        <f>(350*3+80)*0.15</f>
        <v>169.5</v>
      </c>
      <c r="E185" s="1">
        <f>(350*3+80)/E184</f>
        <v>5.621890547263682</v>
      </c>
      <c r="G185" t="s">
        <v>824</v>
      </c>
      <c r="H185" s="1">
        <v>-1</v>
      </c>
      <c r="I185" s="1">
        <v>-1</v>
      </c>
      <c r="K185"/>
    </row>
    <row r="186" spans="3:12" x14ac:dyDescent="0.25">
      <c r="G186" t="s">
        <v>2738</v>
      </c>
      <c r="H186" s="1">
        <v>-2</v>
      </c>
      <c r="I186" s="1">
        <v>-2</v>
      </c>
      <c r="K186"/>
    </row>
    <row r="188" spans="3:12" x14ac:dyDescent="0.25">
      <c r="H188" s="1">
        <f>SUM(H180:H187)</f>
        <v>2</v>
      </c>
      <c r="I188" s="1">
        <f>SUM(I180:I187)</f>
        <v>2</v>
      </c>
    </row>
  </sheetData>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Y212"/>
  <sheetViews>
    <sheetView topLeftCell="A198" workbookViewId="0">
      <selection activeCell="A198" sqref="A198"/>
    </sheetView>
  </sheetViews>
  <sheetFormatPr defaultRowHeight="15" x14ac:dyDescent="0.25"/>
  <cols>
    <col min="6" max="6" width="10.5703125" customWidth="1"/>
    <col min="14" max="14" width="9.85546875" customWidth="1"/>
    <col min="18" max="18" width="11" bestFit="1" customWidth="1"/>
  </cols>
  <sheetData>
    <row r="1" spans="2:18" ht="15.75" x14ac:dyDescent="0.25">
      <c r="G1">
        <f>3+0.5+0.5+1</f>
        <v>5</v>
      </c>
      <c r="K1" t="s">
        <v>670</v>
      </c>
      <c r="L1" s="21">
        <f t="shared" ref="L1:L18" ca="1" si="0">RANDBETWEEN(1,18)</f>
        <v>11</v>
      </c>
    </row>
    <row r="2" spans="2:18" ht="15.75" x14ac:dyDescent="0.25">
      <c r="B2" t="s">
        <v>784</v>
      </c>
      <c r="C2">
        <v>1</v>
      </c>
      <c r="D2">
        <v>1</v>
      </c>
      <c r="E2">
        <f>3.5+1+5+4</f>
        <v>13.5</v>
      </c>
      <c r="F2" t="s">
        <v>1471</v>
      </c>
      <c r="G2">
        <v>1</v>
      </c>
      <c r="H2">
        <v>1</v>
      </c>
      <c r="J2">
        <v>1</v>
      </c>
      <c r="K2" t="s">
        <v>1854</v>
      </c>
      <c r="L2" s="21">
        <f t="shared" ca="1" si="0"/>
        <v>18</v>
      </c>
    </row>
    <row r="3" spans="2:18" ht="15.75" x14ac:dyDescent="0.25">
      <c r="B3" t="s">
        <v>509</v>
      </c>
      <c r="C3">
        <v>10</v>
      </c>
      <c r="D3">
        <f>C3</f>
        <v>10</v>
      </c>
      <c r="E3">
        <f>13.5*10</f>
        <v>135</v>
      </c>
      <c r="F3" t="s">
        <v>509</v>
      </c>
      <c r="G3">
        <v>10</v>
      </c>
      <c r="H3">
        <f>G3</f>
        <v>10</v>
      </c>
      <c r="K3" t="s">
        <v>667</v>
      </c>
      <c r="L3" s="21">
        <f t="shared" ca="1" si="0"/>
        <v>12</v>
      </c>
      <c r="N3" t="s">
        <v>1623</v>
      </c>
    </row>
    <row r="4" spans="2:18" ht="15.75" x14ac:dyDescent="0.25">
      <c r="B4" t="s">
        <v>795</v>
      </c>
      <c r="C4">
        <v>1</v>
      </c>
      <c r="D4">
        <f>C4</f>
        <v>1</v>
      </c>
      <c r="F4" t="s">
        <v>795</v>
      </c>
      <c r="G4">
        <v>1</v>
      </c>
      <c r="H4">
        <v>1</v>
      </c>
      <c r="K4" t="s">
        <v>1629</v>
      </c>
      <c r="L4" s="21">
        <f t="shared" ca="1" si="0"/>
        <v>13</v>
      </c>
      <c r="N4" t="s">
        <v>673</v>
      </c>
      <c r="O4">
        <f>(1+0.5+0.5+0.5+1)*2*(6.5+6.5+5+5+10+2)+2*(4.5+2+10+2)</f>
        <v>282</v>
      </c>
    </row>
    <row r="5" spans="2:18" ht="15.75" x14ac:dyDescent="0.25">
      <c r="B5" t="s">
        <v>796</v>
      </c>
      <c r="C5">
        <v>1</v>
      </c>
      <c r="D5">
        <f>4/6</f>
        <v>0.66666666666666663</v>
      </c>
      <c r="F5" t="s">
        <v>796</v>
      </c>
      <c r="G5">
        <v>1</v>
      </c>
      <c r="H5">
        <v>1</v>
      </c>
      <c r="K5" t="s">
        <v>1507</v>
      </c>
      <c r="L5" s="21">
        <f t="shared" ca="1" si="0"/>
        <v>15</v>
      </c>
      <c r="N5" t="s">
        <v>1854</v>
      </c>
      <c r="O5">
        <f>(3.5+2+3+3+2+2)*(2+0.5+0.5)*2</f>
        <v>93</v>
      </c>
    </row>
    <row r="6" spans="2:18" ht="15.75" x14ac:dyDescent="0.25">
      <c r="C6">
        <f>C2*C3*C4*C5</f>
        <v>10</v>
      </c>
      <c r="D6">
        <f>D2*D3*D4*D5</f>
        <v>6.6666666666666661</v>
      </c>
      <c r="G6">
        <f>G2*G3*G4*G5</f>
        <v>10</v>
      </c>
      <c r="H6">
        <f>H2*H3*H4*H5</f>
        <v>10</v>
      </c>
      <c r="J6">
        <v>1</v>
      </c>
      <c r="K6" t="s">
        <v>1853</v>
      </c>
      <c r="L6" s="21">
        <f t="shared" ca="1" si="0"/>
        <v>3</v>
      </c>
      <c r="N6" t="s">
        <v>1628</v>
      </c>
      <c r="O6">
        <f>10*(2.5+5+5.5+2+2)</f>
        <v>170</v>
      </c>
    </row>
    <row r="7" spans="2:18" ht="15.75" x14ac:dyDescent="0.25">
      <c r="B7">
        <f>2.5+0.5+0.5+1</f>
        <v>4.5</v>
      </c>
      <c r="C7">
        <f>C6+D6</f>
        <v>16.666666666666664</v>
      </c>
      <c r="D7" t="s">
        <v>2282</v>
      </c>
      <c r="F7">
        <f>(1+0.5+0.5+0.5+0.5+1)</f>
        <v>4</v>
      </c>
      <c r="G7">
        <f>G6+H6</f>
        <v>20</v>
      </c>
      <c r="K7" t="s">
        <v>1628</v>
      </c>
      <c r="L7" s="21">
        <f t="shared" ca="1" si="0"/>
        <v>11</v>
      </c>
      <c r="N7" t="s">
        <v>667</v>
      </c>
      <c r="P7">
        <f>6/20</f>
        <v>0.3</v>
      </c>
      <c r="Q7">
        <f>0.7*0.8</f>
        <v>0.55999999999999994</v>
      </c>
    </row>
    <row r="8" spans="2:18" ht="15.75" x14ac:dyDescent="0.25">
      <c r="D8" t="s">
        <v>2283</v>
      </c>
      <c r="K8" t="s">
        <v>671</v>
      </c>
      <c r="L8" s="21">
        <f t="shared" ca="1" si="0"/>
        <v>16</v>
      </c>
      <c r="N8" t="s">
        <v>1629</v>
      </c>
      <c r="P8">
        <f>P7*0.8</f>
        <v>0.24</v>
      </c>
      <c r="Q8">
        <f>0.8^6</f>
        <v>0.26214400000000015</v>
      </c>
    </row>
    <row r="9" spans="2:18" ht="15.75" x14ac:dyDescent="0.25">
      <c r="D9" t="s">
        <v>2284</v>
      </c>
      <c r="G9">
        <f>40*3.5*3</f>
        <v>420</v>
      </c>
      <c r="K9" t="s">
        <v>1627</v>
      </c>
      <c r="L9" s="21">
        <f t="shared" ca="1" si="0"/>
        <v>15</v>
      </c>
      <c r="N9" t="s">
        <v>1626</v>
      </c>
      <c r="P9">
        <f>1-P8</f>
        <v>0.76</v>
      </c>
    </row>
    <row r="10" spans="2:18" ht="15.75" x14ac:dyDescent="0.25">
      <c r="C10">
        <f>6/20</f>
        <v>0.3</v>
      </c>
      <c r="D10" t="s">
        <v>2285</v>
      </c>
      <c r="K10" t="s">
        <v>668</v>
      </c>
      <c r="L10" s="21">
        <f t="shared" ca="1" si="0"/>
        <v>13</v>
      </c>
    </row>
    <row r="11" spans="2:18" ht="15.75" x14ac:dyDescent="0.25">
      <c r="C11">
        <f>0.7</f>
        <v>0.7</v>
      </c>
      <c r="D11" t="s">
        <v>2286</v>
      </c>
      <c r="E11" t="s">
        <v>2287</v>
      </c>
      <c r="H11">
        <f>10*2*(6.5+9)</f>
        <v>310</v>
      </c>
      <c r="K11" t="s">
        <v>1622</v>
      </c>
      <c r="L11" s="21">
        <f t="shared" ca="1" si="0"/>
        <v>18</v>
      </c>
      <c r="R11">
        <f>450000000*3</f>
        <v>1350000000</v>
      </c>
    </row>
    <row r="12" spans="2:18" ht="15.75" x14ac:dyDescent="0.25">
      <c r="D12">
        <f>0.8*C6</f>
        <v>8</v>
      </c>
      <c r="E12">
        <f>0.8*D6</f>
        <v>5.333333333333333</v>
      </c>
      <c r="F12" t="s">
        <v>2051</v>
      </c>
      <c r="H12">
        <f>6.5*20</f>
        <v>130</v>
      </c>
      <c r="J12">
        <v>1</v>
      </c>
      <c r="K12" t="s">
        <v>1621</v>
      </c>
      <c r="L12" s="21">
        <f t="shared" ca="1" si="0"/>
        <v>9</v>
      </c>
      <c r="O12">
        <f>0.7^3</f>
        <v>0.34299999999999992</v>
      </c>
      <c r="R12">
        <f>R11/24</f>
        <v>56250000</v>
      </c>
    </row>
    <row r="13" spans="2:18" ht="15.75" x14ac:dyDescent="0.25">
      <c r="B13">
        <f>20*3.5*0.15*0.25</f>
        <v>2.625</v>
      </c>
      <c r="D13">
        <f>D12+E12</f>
        <v>13.333333333333332</v>
      </c>
      <c r="F13" t="s">
        <v>2052</v>
      </c>
      <c r="H13">
        <f>13-31</f>
        <v>-18</v>
      </c>
      <c r="K13" t="s">
        <v>1623</v>
      </c>
      <c r="L13" s="21">
        <f t="shared" ca="1" si="0"/>
        <v>7</v>
      </c>
      <c r="R13">
        <f>R12/365</f>
        <v>154109.5890410959</v>
      </c>
    </row>
    <row r="14" spans="2:18" ht="15.75" x14ac:dyDescent="0.25">
      <c r="F14" t="s">
        <v>2016</v>
      </c>
      <c r="J14">
        <v>1</v>
      </c>
      <c r="K14" t="s">
        <v>1626</v>
      </c>
      <c r="L14" s="21">
        <f t="shared" ca="1" si="0"/>
        <v>6</v>
      </c>
      <c r="N14">
        <f>124/6.5</f>
        <v>19.076923076923077</v>
      </c>
    </row>
    <row r="15" spans="2:18" ht="15.75" x14ac:dyDescent="0.25">
      <c r="E15" t="s">
        <v>1226</v>
      </c>
      <c r="F15" t="s">
        <v>2053</v>
      </c>
      <c r="K15" t="s">
        <v>672</v>
      </c>
      <c r="L15" s="21">
        <f t="shared" ca="1" si="0"/>
        <v>15</v>
      </c>
    </row>
    <row r="16" spans="2:18" ht="15.75" x14ac:dyDescent="0.25">
      <c r="B16">
        <f>13+5+2+10</f>
        <v>30</v>
      </c>
      <c r="F16" t="s">
        <v>2054</v>
      </c>
      <c r="I16">
        <f>0.75^(1+1+1)</f>
        <v>0.421875</v>
      </c>
      <c r="K16" t="s">
        <v>1631</v>
      </c>
      <c r="L16" s="21">
        <f t="shared" ca="1" si="0"/>
        <v>12</v>
      </c>
    </row>
    <row r="17" spans="2:18" ht="15.75" x14ac:dyDescent="0.25">
      <c r="B17">
        <f>B16*(1+0.5+0.5+0.5+1)</f>
        <v>105</v>
      </c>
      <c r="F17" t="s">
        <v>2055</v>
      </c>
      <c r="I17">
        <f>(1+1+1+0.5)</f>
        <v>3.5</v>
      </c>
      <c r="K17" t="s">
        <v>1852</v>
      </c>
      <c r="L17" s="21">
        <f t="shared" ca="1" si="0"/>
        <v>5</v>
      </c>
    </row>
    <row r="18" spans="2:18" ht="15.75" x14ac:dyDescent="0.25">
      <c r="F18" t="s">
        <v>2069</v>
      </c>
      <c r="I18">
        <f>1+0.5+0.5+0.5+1</f>
        <v>3.5</v>
      </c>
      <c r="J18">
        <v>1</v>
      </c>
      <c r="K18" t="s">
        <v>1625</v>
      </c>
      <c r="L18" s="21">
        <f t="shared" ca="1" si="0"/>
        <v>16</v>
      </c>
    </row>
    <row r="19" spans="2:18" x14ac:dyDescent="0.25">
      <c r="F19" t="s">
        <v>2057</v>
      </c>
      <c r="O19" t="s">
        <v>1819</v>
      </c>
      <c r="Q19" t="s">
        <v>2097</v>
      </c>
    </row>
    <row r="20" spans="2:18" x14ac:dyDescent="0.25">
      <c r="B20" t="s">
        <v>2288</v>
      </c>
      <c r="F20" t="s">
        <v>2058</v>
      </c>
      <c r="O20" t="s">
        <v>2095</v>
      </c>
    </row>
    <row r="21" spans="2:18" x14ac:dyDescent="0.25">
      <c r="B21" t="s">
        <v>2289</v>
      </c>
      <c r="F21" t="s">
        <v>2059</v>
      </c>
      <c r="O21" t="s">
        <v>1287</v>
      </c>
      <c r="Q21" t="s">
        <v>2096</v>
      </c>
    </row>
    <row r="22" spans="2:18" x14ac:dyDescent="0.25">
      <c r="B22" t="s">
        <v>2290</v>
      </c>
      <c r="F22" t="s">
        <v>2060</v>
      </c>
      <c r="O22" t="s">
        <v>2099</v>
      </c>
    </row>
    <row r="23" spans="2:18" x14ac:dyDescent="0.25">
      <c r="F23" t="s">
        <v>1579</v>
      </c>
      <c r="O23" t="s">
        <v>2098</v>
      </c>
    </row>
    <row r="24" spans="2:18" x14ac:dyDescent="0.25">
      <c r="E24" t="s">
        <v>1226</v>
      </c>
      <c r="F24" t="s">
        <v>2061</v>
      </c>
      <c r="I24" t="s">
        <v>2062</v>
      </c>
      <c r="O24" t="s">
        <v>1238</v>
      </c>
      <c r="R24">
        <f>12-3-5-2-1</f>
        <v>1</v>
      </c>
    </row>
    <row r="25" spans="2:18" x14ac:dyDescent="0.25">
      <c r="E25" t="s">
        <v>1226</v>
      </c>
      <c r="F25" t="s">
        <v>2063</v>
      </c>
      <c r="I25" t="s">
        <v>2064</v>
      </c>
    </row>
    <row r="26" spans="2:18" x14ac:dyDescent="0.25">
      <c r="E26" t="s">
        <v>1226</v>
      </c>
      <c r="F26" t="s">
        <v>2065</v>
      </c>
      <c r="I26" t="s">
        <v>2066</v>
      </c>
    </row>
    <row r="27" spans="2:18" x14ac:dyDescent="0.25">
      <c r="E27" t="s">
        <v>1226</v>
      </c>
      <c r="F27" t="s">
        <v>642</v>
      </c>
      <c r="I27" t="s">
        <v>2067</v>
      </c>
    </row>
    <row r="28" spans="2:18" x14ac:dyDescent="0.25">
      <c r="F28" t="s">
        <v>2068</v>
      </c>
      <c r="Q28">
        <f>1*5*12</f>
        <v>60</v>
      </c>
    </row>
    <row r="29" spans="2:18" x14ac:dyDescent="0.25">
      <c r="F29" t="s">
        <v>2056</v>
      </c>
    </row>
    <row r="30" spans="2:18" x14ac:dyDescent="0.25">
      <c r="F30" t="s">
        <v>1201</v>
      </c>
      <c r="I30">
        <f>(14*5)+6</f>
        <v>76</v>
      </c>
    </row>
    <row r="31" spans="2:18" x14ac:dyDescent="0.25">
      <c r="E31" t="s">
        <v>2071</v>
      </c>
      <c r="F31" t="s">
        <v>2070</v>
      </c>
    </row>
    <row r="32" spans="2:18" x14ac:dyDescent="0.25">
      <c r="F32" t="s">
        <v>2072</v>
      </c>
    </row>
    <row r="33" spans="5:18" x14ac:dyDescent="0.25">
      <c r="F33" t="s">
        <v>2073</v>
      </c>
    </row>
    <row r="34" spans="5:18" x14ac:dyDescent="0.25">
      <c r="F34" t="s">
        <v>1000</v>
      </c>
    </row>
    <row r="35" spans="5:18" x14ac:dyDescent="0.25">
      <c r="F35" t="s">
        <v>2074</v>
      </c>
    </row>
    <row r="36" spans="5:18" x14ac:dyDescent="0.25">
      <c r="F36" t="s">
        <v>1981</v>
      </c>
      <c r="J36">
        <f>(3.5+4)*0.5+10</f>
        <v>13.75</v>
      </c>
    </row>
    <row r="37" spans="5:18" x14ac:dyDescent="0.25">
      <c r="F37" t="s">
        <v>2078</v>
      </c>
      <c r="J37">
        <f>J36*3</f>
        <v>41.25</v>
      </c>
      <c r="L37">
        <f>(2.5+5+5.5+2+6*12)*10</f>
        <v>870</v>
      </c>
    </row>
    <row r="38" spans="5:18" x14ac:dyDescent="0.25">
      <c r="F38" t="s">
        <v>1932</v>
      </c>
      <c r="J38">
        <f>1172/J37</f>
        <v>28.412121212121214</v>
      </c>
      <c r="R38" t="s">
        <v>1209</v>
      </c>
    </row>
    <row r="39" spans="5:18" x14ac:dyDescent="0.25">
      <c r="F39" t="s">
        <v>2075</v>
      </c>
      <c r="R39" t="s">
        <v>2307</v>
      </c>
    </row>
    <row r="40" spans="5:18" x14ac:dyDescent="0.25">
      <c r="F40" t="s">
        <v>1092</v>
      </c>
    </row>
    <row r="41" spans="5:18" x14ac:dyDescent="0.25">
      <c r="F41" t="s">
        <v>2076</v>
      </c>
      <c r="Q41" t="s">
        <v>2306</v>
      </c>
    </row>
    <row r="42" spans="5:18" x14ac:dyDescent="0.25">
      <c r="F42" t="s">
        <v>1986</v>
      </c>
    </row>
    <row r="43" spans="5:18" x14ac:dyDescent="0.25">
      <c r="F43" t="s">
        <v>1980</v>
      </c>
      <c r="L43" t="s">
        <v>1471</v>
      </c>
      <c r="M43">
        <v>1</v>
      </c>
      <c r="N43">
        <v>1</v>
      </c>
    </row>
    <row r="44" spans="5:18" x14ac:dyDescent="0.25">
      <c r="F44" t="s">
        <v>1018</v>
      </c>
      <c r="L44" t="s">
        <v>509</v>
      </c>
      <c r="M44">
        <f>1+0.5+0.5+0.5+0.5+1</f>
        <v>4</v>
      </c>
      <c r="N44">
        <f>M44</f>
        <v>4</v>
      </c>
    </row>
    <row r="45" spans="5:18" x14ac:dyDescent="0.25">
      <c r="F45" t="s">
        <v>2077</v>
      </c>
      <c r="L45" t="s">
        <v>795</v>
      </c>
      <c r="M45">
        <v>1</v>
      </c>
      <c r="N45">
        <v>1</v>
      </c>
    </row>
    <row r="46" spans="5:18" x14ac:dyDescent="0.25">
      <c r="E46" t="s">
        <v>1226</v>
      </c>
      <c r="F46" t="s">
        <v>2079</v>
      </c>
      <c r="L46" t="s">
        <v>796</v>
      </c>
      <c r="M46">
        <v>1</v>
      </c>
      <c r="N46">
        <v>1</v>
      </c>
    </row>
    <row r="47" spans="5:18" x14ac:dyDescent="0.25">
      <c r="F47" t="s">
        <v>2080</v>
      </c>
      <c r="M47">
        <f>M43*M44*M45*M46</f>
        <v>4</v>
      </c>
      <c r="N47">
        <f>N43*N44*N45*N46</f>
        <v>4</v>
      </c>
    </row>
    <row r="48" spans="5:18" x14ac:dyDescent="0.25">
      <c r="F48" t="s">
        <v>2081</v>
      </c>
      <c r="M48">
        <f>M47+N47</f>
        <v>8</v>
      </c>
    </row>
    <row r="49" spans="5:14" x14ac:dyDescent="0.25">
      <c r="F49" t="s">
        <v>2082</v>
      </c>
    </row>
    <row r="50" spans="5:14" x14ac:dyDescent="0.25">
      <c r="F50" t="s">
        <v>2083</v>
      </c>
      <c r="J50">
        <f>(1.5+0.5)*(3.5+3+2)</f>
        <v>17</v>
      </c>
    </row>
    <row r="51" spans="5:14" x14ac:dyDescent="0.25">
      <c r="F51" t="s">
        <v>2084</v>
      </c>
      <c r="N51">
        <f>M47*4</f>
        <v>16</v>
      </c>
    </row>
    <row r="52" spans="5:14" x14ac:dyDescent="0.25">
      <c r="F52" t="s">
        <v>2085</v>
      </c>
      <c r="J52">
        <f>1400*10+14000+4000</f>
        <v>32000</v>
      </c>
    </row>
    <row r="53" spans="5:14" x14ac:dyDescent="0.25">
      <c r="F53" t="s">
        <v>2086</v>
      </c>
    </row>
    <row r="54" spans="5:14" x14ac:dyDescent="0.25">
      <c r="F54" t="s">
        <v>1086</v>
      </c>
    </row>
    <row r="55" spans="5:14" x14ac:dyDescent="0.25">
      <c r="F55" t="s">
        <v>1105</v>
      </c>
    </row>
    <row r="56" spans="5:14" x14ac:dyDescent="0.25">
      <c r="F56" t="s">
        <v>2087</v>
      </c>
    </row>
    <row r="57" spans="5:14" x14ac:dyDescent="0.25">
      <c r="F57" t="s">
        <v>2088</v>
      </c>
    </row>
    <row r="58" spans="5:14" x14ac:dyDescent="0.25">
      <c r="F58" t="s">
        <v>1099</v>
      </c>
    </row>
    <row r="59" spans="5:14" x14ac:dyDescent="0.25">
      <c r="F59" t="s">
        <v>1933</v>
      </c>
    </row>
    <row r="60" spans="5:14" x14ac:dyDescent="0.25">
      <c r="F60" t="s">
        <v>2089</v>
      </c>
    </row>
    <row r="61" spans="5:14" x14ac:dyDescent="0.25">
      <c r="F61" t="s">
        <v>2090</v>
      </c>
    </row>
    <row r="62" spans="5:14" x14ac:dyDescent="0.25">
      <c r="F62" t="s">
        <v>994</v>
      </c>
    </row>
    <row r="63" spans="5:14" x14ac:dyDescent="0.25">
      <c r="E63" t="s">
        <v>1226</v>
      </c>
      <c r="F63" t="s">
        <v>2091</v>
      </c>
    </row>
    <row r="67" spans="2:25" x14ac:dyDescent="0.25">
      <c r="B67" t="s">
        <v>1799</v>
      </c>
      <c r="F67" t="s">
        <v>2210</v>
      </c>
      <c r="J67" t="s">
        <v>1049</v>
      </c>
      <c r="M67" t="s">
        <v>1034</v>
      </c>
      <c r="Q67" t="s">
        <v>2437</v>
      </c>
    </row>
    <row r="68" spans="2:25" x14ac:dyDescent="0.25">
      <c r="B68" t="s">
        <v>1292</v>
      </c>
      <c r="F68" t="s">
        <v>2196</v>
      </c>
      <c r="J68" t="s">
        <v>1033</v>
      </c>
      <c r="M68" t="s">
        <v>2435</v>
      </c>
      <c r="Q68" t="s">
        <v>2195</v>
      </c>
    </row>
    <row r="69" spans="2:25" x14ac:dyDescent="0.25">
      <c r="B69" t="s">
        <v>2191</v>
      </c>
      <c r="F69" t="s">
        <v>2197</v>
      </c>
      <c r="J69" t="s">
        <v>1034</v>
      </c>
      <c r="M69" t="s">
        <v>2436</v>
      </c>
      <c r="Q69" t="s">
        <v>1292</v>
      </c>
    </row>
    <row r="70" spans="2:25" x14ac:dyDescent="0.25">
      <c r="B70" t="s">
        <v>1212</v>
      </c>
      <c r="F70" t="s">
        <v>1211</v>
      </c>
      <c r="J70" t="s">
        <v>1035</v>
      </c>
      <c r="M70" t="s">
        <v>2432</v>
      </c>
      <c r="Q70" t="s">
        <v>2438</v>
      </c>
    </row>
    <row r="71" spans="2:25" x14ac:dyDescent="0.25">
      <c r="B71" t="s">
        <v>2203</v>
      </c>
      <c r="F71" t="s">
        <v>2204</v>
      </c>
      <c r="J71" t="s">
        <v>1036</v>
      </c>
      <c r="M71" t="s">
        <v>2433</v>
      </c>
      <c r="Q71" t="s">
        <v>100</v>
      </c>
      <c r="V71" t="s">
        <v>1238</v>
      </c>
    </row>
    <row r="72" spans="2:25" x14ac:dyDescent="0.25">
      <c r="B72" t="s">
        <v>2209</v>
      </c>
      <c r="F72" t="s">
        <v>2198</v>
      </c>
      <c r="J72" t="s">
        <v>1039</v>
      </c>
      <c r="M72" t="s">
        <v>2434</v>
      </c>
      <c r="V72" t="s">
        <v>1292</v>
      </c>
    </row>
    <row r="73" spans="2:25" x14ac:dyDescent="0.25">
      <c r="B73" t="s">
        <v>1490</v>
      </c>
      <c r="F73" t="s">
        <v>2199</v>
      </c>
      <c r="J73" t="s">
        <v>1042</v>
      </c>
      <c r="V73" t="s">
        <v>2497</v>
      </c>
      <c r="Y73" t="s">
        <v>2541</v>
      </c>
    </row>
    <row r="74" spans="2:25" x14ac:dyDescent="0.25">
      <c r="B74" t="s">
        <v>2195</v>
      </c>
      <c r="F74" t="s">
        <v>2199</v>
      </c>
      <c r="J74" t="s">
        <v>1043</v>
      </c>
      <c r="O74" t="s">
        <v>1288</v>
      </c>
      <c r="R74" t="s">
        <v>2497</v>
      </c>
      <c r="V74" t="s">
        <v>2336</v>
      </c>
    </row>
    <row r="75" spans="2:25" x14ac:dyDescent="0.25">
      <c r="B75" t="s">
        <v>2206</v>
      </c>
      <c r="F75" t="s">
        <v>1061</v>
      </c>
      <c r="J75" t="s">
        <v>1045</v>
      </c>
      <c r="O75" t="s">
        <v>1300</v>
      </c>
      <c r="R75" t="s">
        <v>1618</v>
      </c>
      <c r="V75" t="s">
        <v>552</v>
      </c>
    </row>
    <row r="76" spans="2:25" x14ac:dyDescent="0.25">
      <c r="B76" t="s">
        <v>2205</v>
      </c>
      <c r="F76" t="s">
        <v>1061</v>
      </c>
      <c r="J76" t="s">
        <v>1046</v>
      </c>
      <c r="O76" t="s">
        <v>1809</v>
      </c>
      <c r="R76" t="s">
        <v>2504</v>
      </c>
      <c r="V76" t="s">
        <v>2341</v>
      </c>
    </row>
    <row r="77" spans="2:25" x14ac:dyDescent="0.25">
      <c r="B77" t="s">
        <v>1812</v>
      </c>
      <c r="F77" t="s">
        <v>1061</v>
      </c>
      <c r="J77" t="s">
        <v>1047</v>
      </c>
      <c r="O77" t="s">
        <v>1238</v>
      </c>
      <c r="R77" t="s">
        <v>1238</v>
      </c>
    </row>
    <row r="78" spans="2:25" x14ac:dyDescent="0.25">
      <c r="B78" t="s">
        <v>1817</v>
      </c>
      <c r="F78" t="s">
        <v>2200</v>
      </c>
      <c r="J78" t="s">
        <v>1828</v>
      </c>
      <c r="O78" t="s">
        <v>2503</v>
      </c>
      <c r="R78" t="s">
        <v>1488</v>
      </c>
    </row>
    <row r="79" spans="2:25" x14ac:dyDescent="0.25">
      <c r="B79" t="s">
        <v>1284</v>
      </c>
      <c r="F79" t="s">
        <v>2201</v>
      </c>
      <c r="J79" t="s">
        <v>2192</v>
      </c>
      <c r="O79" t="s">
        <v>1812</v>
      </c>
      <c r="R79" t="s">
        <v>1292</v>
      </c>
      <c r="V79" t="s">
        <v>2504</v>
      </c>
    </row>
    <row r="80" spans="2:25" x14ac:dyDescent="0.25">
      <c r="B80" t="s">
        <v>1815</v>
      </c>
      <c r="F80" t="s">
        <v>2202</v>
      </c>
      <c r="J80" t="s">
        <v>2193</v>
      </c>
      <c r="O80" t="s">
        <v>1808</v>
      </c>
      <c r="R80" t="s">
        <v>2341</v>
      </c>
    </row>
    <row r="81" spans="2:22" x14ac:dyDescent="0.25">
      <c r="B81" t="s">
        <v>1618</v>
      </c>
      <c r="F81" t="s">
        <v>884</v>
      </c>
      <c r="J81" t="s">
        <v>2194</v>
      </c>
      <c r="O81" t="s">
        <v>552</v>
      </c>
      <c r="R81" t="s">
        <v>552</v>
      </c>
    </row>
    <row r="82" spans="2:22" x14ac:dyDescent="0.25">
      <c r="B82" t="s">
        <v>1238</v>
      </c>
      <c r="F82" t="s">
        <v>2207</v>
      </c>
      <c r="Q82">
        <f>3*(6+4+3+7+2)+(8+2+7+2)</f>
        <v>85</v>
      </c>
      <c r="R82" t="s">
        <v>2539</v>
      </c>
      <c r="V82" t="s">
        <v>2551</v>
      </c>
    </row>
    <row r="83" spans="2:22" x14ac:dyDescent="0.25">
      <c r="B83" t="s">
        <v>100</v>
      </c>
      <c r="F83" t="s">
        <v>2208</v>
      </c>
      <c r="Q83">
        <f>3*(24+6+2)</f>
        <v>96</v>
      </c>
      <c r="R83" t="s">
        <v>2336</v>
      </c>
      <c r="V83" t="s">
        <v>2548</v>
      </c>
    </row>
    <row r="84" spans="2:22" x14ac:dyDescent="0.25">
      <c r="K84" t="s">
        <v>1238</v>
      </c>
      <c r="M84">
        <f>5.5+3</f>
        <v>8.5</v>
      </c>
      <c r="N84">
        <f>(22+12)*2*3</f>
        <v>204</v>
      </c>
      <c r="R84" t="s">
        <v>2540</v>
      </c>
      <c r="V84" t="s">
        <v>2549</v>
      </c>
    </row>
    <row r="85" spans="2:22" x14ac:dyDescent="0.25">
      <c r="K85" t="s">
        <v>1238</v>
      </c>
      <c r="M85">
        <f>M84*8*3</f>
        <v>204</v>
      </c>
      <c r="V85" t="s">
        <v>2550</v>
      </c>
    </row>
    <row r="86" spans="2:22" x14ac:dyDescent="0.25">
      <c r="F86" t="s">
        <v>1471</v>
      </c>
      <c r="G86">
        <v>1</v>
      </c>
      <c r="H86">
        <f>G86</f>
        <v>1</v>
      </c>
      <c r="K86" t="s">
        <v>1301</v>
      </c>
      <c r="Q86">
        <f>4*(5.5+3+5+3+7)+(4.5+2+2+3+7)</f>
        <v>112.5</v>
      </c>
      <c r="V86" t="s">
        <v>552</v>
      </c>
    </row>
    <row r="87" spans="2:22" x14ac:dyDescent="0.25">
      <c r="F87" t="s">
        <v>509</v>
      </c>
      <c r="G87">
        <f>1+0.5+0.5+0.5+0.5+1+1</f>
        <v>5</v>
      </c>
      <c r="H87">
        <f>G87</f>
        <v>5</v>
      </c>
      <c r="K87" t="s">
        <v>579</v>
      </c>
      <c r="Q87">
        <f>4*(3.5+4+3+5+3+7)+(4.5+2+2+3+7)</f>
        <v>120.5</v>
      </c>
    </row>
    <row r="88" spans="2:22" x14ac:dyDescent="0.25">
      <c r="F88" t="s">
        <v>795</v>
      </c>
      <c r="G88">
        <v>1</v>
      </c>
      <c r="H88">
        <f>G88</f>
        <v>1</v>
      </c>
      <c r="K88" t="s">
        <v>1292</v>
      </c>
    </row>
    <row r="89" spans="2:22" x14ac:dyDescent="0.25">
      <c r="F89" t="s">
        <v>796</v>
      </c>
      <c r="G89">
        <v>1</v>
      </c>
      <c r="H89">
        <f>G89</f>
        <v>1</v>
      </c>
      <c r="K89" t="s">
        <v>158</v>
      </c>
    </row>
    <row r="90" spans="2:22" x14ac:dyDescent="0.25">
      <c r="G90">
        <f>G86*G87*G88*G89</f>
        <v>5</v>
      </c>
      <c r="H90">
        <f>G90</f>
        <v>5</v>
      </c>
      <c r="P90">
        <f>16-1-3-2-3</f>
        <v>7</v>
      </c>
    </row>
    <row r="92" spans="2:22" x14ac:dyDescent="0.25">
      <c r="C92">
        <f>3*(4.5+4+4+5+2)</f>
        <v>58.5</v>
      </c>
      <c r="U92" s="3"/>
    </row>
    <row r="93" spans="2:22" x14ac:dyDescent="0.25">
      <c r="C93">
        <f>(3.5+3+3+10)*3</f>
        <v>58.5</v>
      </c>
      <c r="D93">
        <f>350</f>
        <v>350</v>
      </c>
      <c r="G93" t="s">
        <v>921</v>
      </c>
      <c r="I93" t="s">
        <v>878</v>
      </c>
      <c r="K93" t="s">
        <v>1715</v>
      </c>
      <c r="N93" t="s">
        <v>1292</v>
      </c>
      <c r="P93" t="s">
        <v>1819</v>
      </c>
    </row>
    <row r="94" spans="2:22" x14ac:dyDescent="0.25">
      <c r="C94">
        <f>(3.5+3+12)*2</f>
        <v>37</v>
      </c>
      <c r="D94">
        <v>470</v>
      </c>
      <c r="G94" t="s">
        <v>836</v>
      </c>
      <c r="I94" t="s">
        <v>2342</v>
      </c>
      <c r="K94" t="s">
        <v>689</v>
      </c>
      <c r="N94" t="s">
        <v>101</v>
      </c>
      <c r="P94" t="s">
        <v>1816</v>
      </c>
      <c r="U94" s="3"/>
    </row>
    <row r="95" spans="2:22" x14ac:dyDescent="0.25">
      <c r="C95">
        <f>C92+C93+C94</f>
        <v>154</v>
      </c>
      <c r="D95">
        <f>D94*0.75</f>
        <v>352.5</v>
      </c>
      <c r="G95" t="s">
        <v>930</v>
      </c>
      <c r="N95" t="s">
        <v>1284</v>
      </c>
    </row>
    <row r="96" spans="2:22" x14ac:dyDescent="0.25">
      <c r="C96">
        <f>C95/2</f>
        <v>77</v>
      </c>
      <c r="G96" t="s">
        <v>849</v>
      </c>
    </row>
    <row r="97" spans="1:17" x14ac:dyDescent="0.25">
      <c r="C97">
        <f>D94/C96</f>
        <v>6.1038961038961039</v>
      </c>
      <c r="E97">
        <f>3*(3.5+3+14)</f>
        <v>61.5</v>
      </c>
    </row>
    <row r="98" spans="1:17" x14ac:dyDescent="0.25">
      <c r="G98">
        <f>14*5</f>
        <v>70</v>
      </c>
    </row>
    <row r="99" spans="1:17" x14ac:dyDescent="0.25">
      <c r="C99">
        <f>5-3-1-1-2</f>
        <v>-2</v>
      </c>
      <c r="L99">
        <f>18-5-1</f>
        <v>12</v>
      </c>
      <c r="N99">
        <f>2.5+1</f>
        <v>3.5</v>
      </c>
    </row>
    <row r="100" spans="1:17" x14ac:dyDescent="0.25">
      <c r="F100">
        <v>1</v>
      </c>
      <c r="G100">
        <f>4.5*2+5</f>
        <v>14</v>
      </c>
      <c r="H100">
        <f>G100*1</f>
        <v>14</v>
      </c>
      <c r="J100">
        <f>4.5*2+5</f>
        <v>14</v>
      </c>
      <c r="K100">
        <f>J100*2</f>
        <v>28</v>
      </c>
      <c r="L100">
        <f>4.5*2+5+21</f>
        <v>35</v>
      </c>
      <c r="N100">
        <f>3.5*3</f>
        <v>10.5</v>
      </c>
    </row>
    <row r="101" spans="1:17" x14ac:dyDescent="0.25">
      <c r="F101">
        <v>6</v>
      </c>
      <c r="G101">
        <f>4.5*2+5</f>
        <v>14</v>
      </c>
      <c r="H101">
        <f>G101*2</f>
        <v>28</v>
      </c>
      <c r="J101">
        <f>4.5*3+5</f>
        <v>18.5</v>
      </c>
      <c r="K101">
        <f>J101*2</f>
        <v>37</v>
      </c>
    </row>
    <row r="102" spans="1:17" x14ac:dyDescent="0.25">
      <c r="F102">
        <v>11</v>
      </c>
      <c r="G102">
        <f>4.5*2+5+21</f>
        <v>35</v>
      </c>
      <c r="H102">
        <f>G102*3</f>
        <v>105</v>
      </c>
      <c r="J102">
        <f>J100+J101</f>
        <v>32.5</v>
      </c>
      <c r="K102">
        <f>K100+K101</f>
        <v>65</v>
      </c>
      <c r="Q102">
        <f>3.5*4</f>
        <v>14</v>
      </c>
    </row>
    <row r="103" spans="1:17" x14ac:dyDescent="0.25">
      <c r="F103">
        <v>16</v>
      </c>
      <c r="G103">
        <f>4.5*3+5+20</f>
        <v>38.5</v>
      </c>
      <c r="H103">
        <f>G103*4</f>
        <v>154</v>
      </c>
      <c r="Q103">
        <f>14*5</f>
        <v>70</v>
      </c>
    </row>
    <row r="104" spans="1:17" x14ac:dyDescent="0.25">
      <c r="A104">
        <v>1</v>
      </c>
      <c r="B104">
        <v>2</v>
      </c>
      <c r="C104">
        <v>1</v>
      </c>
      <c r="D104">
        <v>2</v>
      </c>
      <c r="E104">
        <v>1</v>
      </c>
      <c r="F104">
        <v>21</v>
      </c>
      <c r="G104">
        <f>4.5*3+5+20</f>
        <v>38.5</v>
      </c>
      <c r="H104">
        <f>G104*5</f>
        <v>192.5</v>
      </c>
      <c r="L104">
        <v>0.65</v>
      </c>
      <c r="M104">
        <v>0.7</v>
      </c>
      <c r="Q104">
        <f>70*0.3</f>
        <v>21</v>
      </c>
    </row>
    <row r="105" spans="1:17" x14ac:dyDescent="0.25">
      <c r="A105">
        <v>2</v>
      </c>
      <c r="B105">
        <v>3</v>
      </c>
      <c r="C105">
        <v>2</v>
      </c>
      <c r="D105">
        <v>3</v>
      </c>
      <c r="E105">
        <v>1</v>
      </c>
      <c r="I105">
        <f>0-3-3-3-4-2</f>
        <v>-15</v>
      </c>
      <c r="J105">
        <f>7/20</f>
        <v>0.35</v>
      </c>
      <c r="L105">
        <v>0.35</v>
      </c>
      <c r="M105">
        <v>0.3</v>
      </c>
      <c r="N105">
        <f>L105*M105</f>
        <v>0.105</v>
      </c>
    </row>
    <row r="106" spans="1:17" x14ac:dyDescent="0.25">
      <c r="A106">
        <v>3</v>
      </c>
      <c r="B106">
        <v>4</v>
      </c>
      <c r="C106">
        <v>3</v>
      </c>
      <c r="D106">
        <v>4</v>
      </c>
      <c r="E106">
        <v>2</v>
      </c>
      <c r="G106">
        <f>4.5*2+5</f>
        <v>14</v>
      </c>
    </row>
    <row r="107" spans="1:17" x14ac:dyDescent="0.25">
      <c r="A107">
        <v>4</v>
      </c>
      <c r="B107">
        <v>5</v>
      </c>
      <c r="C107">
        <v>4</v>
      </c>
      <c r="D107">
        <v>5</v>
      </c>
      <c r="E107">
        <v>3</v>
      </c>
      <c r="G107">
        <f>14*3</f>
        <v>42</v>
      </c>
      <c r="N107">
        <f>0.9^4</f>
        <v>0.65610000000000013</v>
      </c>
    </row>
    <row r="108" spans="1:17" x14ac:dyDescent="0.25">
      <c r="A108">
        <v>5</v>
      </c>
      <c r="B108">
        <v>6</v>
      </c>
      <c r="C108">
        <v>5</v>
      </c>
      <c r="D108">
        <v>6</v>
      </c>
      <c r="E108">
        <v>4</v>
      </c>
      <c r="G108">
        <f>4.5*3+5</f>
        <v>18.5</v>
      </c>
      <c r="J108">
        <f>1.5+7</f>
        <v>8.5</v>
      </c>
      <c r="N108">
        <f>0.8^5</f>
        <v>0.32768000000000019</v>
      </c>
    </row>
    <row r="109" spans="1:17" x14ac:dyDescent="0.25">
      <c r="A109">
        <v>6</v>
      </c>
      <c r="B109">
        <v>7</v>
      </c>
      <c r="C109">
        <v>6</v>
      </c>
      <c r="D109">
        <v>6</v>
      </c>
      <c r="E109">
        <v>5</v>
      </c>
      <c r="G109">
        <f>G108*3</f>
        <v>55.5</v>
      </c>
      <c r="J109">
        <f>8.5*4</f>
        <v>34</v>
      </c>
    </row>
    <row r="110" spans="1:17" x14ac:dyDescent="0.25">
      <c r="A110">
        <v>7</v>
      </c>
      <c r="B110">
        <v>8</v>
      </c>
      <c r="G110">
        <f>G107+G109</f>
        <v>97.5</v>
      </c>
    </row>
    <row r="111" spans="1:17" x14ac:dyDescent="0.25">
      <c r="A111">
        <v>8</v>
      </c>
      <c r="B111">
        <v>8</v>
      </c>
      <c r="G111">
        <f>G110*0.75</f>
        <v>73.125</v>
      </c>
      <c r="K111">
        <f>-2-3-2-4-3-1</f>
        <v>-15</v>
      </c>
      <c r="L111" t="s">
        <v>212</v>
      </c>
      <c r="M111">
        <v>3</v>
      </c>
    </row>
    <row r="112" spans="1:17" x14ac:dyDescent="0.25">
      <c r="A112">
        <f>AVERAGE(A104:A111)</f>
        <v>4.5</v>
      </c>
      <c r="B112">
        <f>AVERAGE(B104:B111)</f>
        <v>5.375</v>
      </c>
      <c r="C112">
        <f>AVERAGE(C104:C109)</f>
        <v>3.5</v>
      </c>
      <c r="D112">
        <f>AVERAGE(D104:D109)</f>
        <v>4.333333333333333</v>
      </c>
      <c r="E112">
        <f>AVERAGE(E104:E109)</f>
        <v>2.6666666666666665</v>
      </c>
      <c r="H112">
        <f>5*2.5+30</f>
        <v>42.5</v>
      </c>
      <c r="K112">
        <f>-15-4-2</f>
        <v>-21</v>
      </c>
      <c r="L112" t="s">
        <v>1661</v>
      </c>
      <c r="M112">
        <v>-2</v>
      </c>
      <c r="N112">
        <v>-2</v>
      </c>
    </row>
    <row r="113" spans="1:19" x14ac:dyDescent="0.25">
      <c r="H113">
        <f>10*3.5</f>
        <v>35</v>
      </c>
      <c r="K113">
        <f>-21-2</f>
        <v>-23</v>
      </c>
      <c r="L113" t="s">
        <v>2308</v>
      </c>
      <c r="N113">
        <v>-4</v>
      </c>
      <c r="O113">
        <f>5.5+5+14</f>
        <v>24.5</v>
      </c>
      <c r="Q113">
        <f>O115*0.15</f>
        <v>22.05</v>
      </c>
    </row>
    <row r="114" spans="1:19" x14ac:dyDescent="0.25">
      <c r="A114">
        <f>A112*3+5</f>
        <v>18.5</v>
      </c>
      <c r="B114">
        <f>B112*3+5</f>
        <v>21.125</v>
      </c>
      <c r="C114">
        <f>C112*3+5</f>
        <v>15.5</v>
      </c>
      <c r="D114">
        <f>D112*3+5</f>
        <v>18</v>
      </c>
      <c r="E114">
        <f>E112*3+5</f>
        <v>13</v>
      </c>
      <c r="I114">
        <f>1-5-3-2-1-1</f>
        <v>-11</v>
      </c>
      <c r="K114">
        <f>-23-1</f>
        <v>-24</v>
      </c>
      <c r="L114" t="s">
        <v>1225</v>
      </c>
      <c r="M114">
        <v>-3</v>
      </c>
      <c r="N114">
        <v>-3</v>
      </c>
      <c r="O114">
        <f>24.5*2</f>
        <v>49</v>
      </c>
    </row>
    <row r="115" spans="1:19" x14ac:dyDescent="0.25">
      <c r="L115" t="s">
        <v>1453</v>
      </c>
      <c r="M115">
        <v>-2</v>
      </c>
      <c r="N115">
        <v>-1</v>
      </c>
      <c r="O115">
        <f>O114*3</f>
        <v>147</v>
      </c>
    </row>
    <row r="116" spans="1:19" x14ac:dyDescent="0.25">
      <c r="D116">
        <f>5.5+5+5+14</f>
        <v>29.5</v>
      </c>
      <c r="H116">
        <v>24</v>
      </c>
      <c r="L116" t="s">
        <v>647</v>
      </c>
      <c r="N116">
        <v>-4</v>
      </c>
    </row>
    <row r="117" spans="1:19" x14ac:dyDescent="0.25">
      <c r="D117">
        <f>D116*3</f>
        <v>88.5</v>
      </c>
      <c r="H117">
        <v>0.6</v>
      </c>
      <c r="L117" t="s">
        <v>2349</v>
      </c>
      <c r="M117">
        <v>-3</v>
      </c>
      <c r="N117">
        <v>-3</v>
      </c>
    </row>
    <row r="118" spans="1:19" x14ac:dyDescent="0.25">
      <c r="C118">
        <f>-4-12</f>
        <v>-16</v>
      </c>
      <c r="H118">
        <f>H116*H117</f>
        <v>14.399999999999999</v>
      </c>
      <c r="L118" t="s">
        <v>2350</v>
      </c>
      <c r="M118">
        <v>-1</v>
      </c>
      <c r="N118">
        <v>-1</v>
      </c>
    </row>
    <row r="119" spans="1:19" x14ac:dyDescent="0.25">
      <c r="C119">
        <f>3/20</f>
        <v>0.15</v>
      </c>
      <c r="L119" t="s">
        <v>2351</v>
      </c>
      <c r="N119">
        <v>-6</v>
      </c>
      <c r="Q119">
        <f>3.5+3+9+2+2</f>
        <v>19.5</v>
      </c>
      <c r="R119">
        <f>4.5+3+2+6</f>
        <v>15.5</v>
      </c>
      <c r="S119">
        <f>3.5+1+2</f>
        <v>6.5</v>
      </c>
    </row>
    <row r="120" spans="1:19" x14ac:dyDescent="0.25">
      <c r="C120">
        <f>(3*2.5)+6</f>
        <v>13.5</v>
      </c>
      <c r="E120">
        <f>11-2-3-3</f>
        <v>3</v>
      </c>
      <c r="G120">
        <f>16-2-3-1</f>
        <v>10</v>
      </c>
      <c r="L120" t="s">
        <v>830</v>
      </c>
      <c r="N120">
        <v>-3</v>
      </c>
      <c r="Q120">
        <f>Q119*(1+1+0.5+0.5)</f>
        <v>58.5</v>
      </c>
      <c r="R120">
        <f>R119*(1+0.5+0.5)*2</f>
        <v>62</v>
      </c>
      <c r="S120">
        <f>S119*(3+0.5+0.5)*2</f>
        <v>52</v>
      </c>
    </row>
    <row r="121" spans="1:19" x14ac:dyDescent="0.25">
      <c r="C121">
        <f>C119*C120*5</f>
        <v>10.125</v>
      </c>
      <c r="I121">
        <f>3.5+4+2+12+1+2</f>
        <v>24.5</v>
      </c>
    </row>
    <row r="122" spans="1:19" x14ac:dyDescent="0.25">
      <c r="C122">
        <f>C121*0.75</f>
        <v>7.59375</v>
      </c>
      <c r="E122">
        <f>4.5+2+3+5</f>
        <v>14.5</v>
      </c>
      <c r="G122">
        <f>24+6+2</f>
        <v>32</v>
      </c>
      <c r="I122">
        <f>I121*6*0.75</f>
        <v>110.25</v>
      </c>
      <c r="L122" t="s">
        <v>922</v>
      </c>
    </row>
    <row r="123" spans="1:19" x14ac:dyDescent="0.25">
      <c r="I123">
        <f>1000/I122</f>
        <v>9.0702947845804989</v>
      </c>
      <c r="L123" t="s">
        <v>1479</v>
      </c>
      <c r="N123">
        <v>-2</v>
      </c>
    </row>
    <row r="124" spans="1:19" x14ac:dyDescent="0.25">
      <c r="E124">
        <f>E122*(1+1+0.5)</f>
        <v>36.25</v>
      </c>
      <c r="G124">
        <f>G122*3</f>
        <v>96</v>
      </c>
      <c r="L124" t="s">
        <v>939</v>
      </c>
      <c r="N124">
        <v>-4</v>
      </c>
    </row>
    <row r="125" spans="1:19" x14ac:dyDescent="0.25">
      <c r="L125" t="s">
        <v>1669</v>
      </c>
      <c r="N125">
        <v>-2</v>
      </c>
    </row>
    <row r="126" spans="1:19" x14ac:dyDescent="0.25">
      <c r="L126" t="s">
        <v>1241</v>
      </c>
      <c r="M126">
        <v>-4</v>
      </c>
      <c r="N126">
        <v>-6</v>
      </c>
    </row>
    <row r="127" spans="1:19" x14ac:dyDescent="0.25">
      <c r="D127">
        <f>10-3+2-1-2-7-1-1-1</f>
        <v>-4</v>
      </c>
      <c r="J127">
        <f>180</f>
        <v>180</v>
      </c>
      <c r="M127">
        <f>SUM(M111:M126)</f>
        <v>-12</v>
      </c>
    </row>
    <row r="128" spans="1:19" x14ac:dyDescent="0.25">
      <c r="I128">
        <f>15</f>
        <v>15</v>
      </c>
    </row>
    <row r="129" spans="2:24" x14ac:dyDescent="0.25">
      <c r="I129">
        <v>-5</v>
      </c>
      <c r="J129" t="s">
        <v>2352</v>
      </c>
    </row>
    <row r="130" spans="2:24" x14ac:dyDescent="0.25">
      <c r="E130">
        <f>4+14+1</f>
        <v>19</v>
      </c>
      <c r="I130">
        <v>-3</v>
      </c>
      <c r="J130" t="s">
        <v>155</v>
      </c>
    </row>
    <row r="131" spans="2:24" x14ac:dyDescent="0.25">
      <c r="C131">
        <f>4.5+7</f>
        <v>11.5</v>
      </c>
      <c r="E131">
        <f>19*8</f>
        <v>152</v>
      </c>
      <c r="I131">
        <v>-1</v>
      </c>
      <c r="J131" t="s">
        <v>964</v>
      </c>
      <c r="L131">
        <f>24+14</f>
        <v>38</v>
      </c>
    </row>
    <row r="132" spans="2:24" x14ac:dyDescent="0.25">
      <c r="C132">
        <f>C131*4*0.5*2</f>
        <v>46</v>
      </c>
      <c r="I132">
        <v>-1</v>
      </c>
      <c r="J132" t="s">
        <v>966</v>
      </c>
      <c r="L132">
        <f>38*2</f>
        <v>76</v>
      </c>
    </row>
    <row r="133" spans="2:24" x14ac:dyDescent="0.25">
      <c r="N133" t="s">
        <v>851</v>
      </c>
      <c r="R133" t="s">
        <v>1296</v>
      </c>
      <c r="S133" t="s">
        <v>1297</v>
      </c>
      <c r="T133" t="s">
        <v>1294</v>
      </c>
    </row>
    <row r="134" spans="2:24" x14ac:dyDescent="0.25">
      <c r="G134">
        <f>85*2</f>
        <v>170</v>
      </c>
      <c r="M134">
        <v>-4</v>
      </c>
      <c r="N134">
        <v>-4</v>
      </c>
      <c r="O134">
        <v>-4</v>
      </c>
      <c r="P134" t="s">
        <v>2266</v>
      </c>
      <c r="R134" t="s">
        <v>2354</v>
      </c>
      <c r="S134" t="s">
        <v>2322</v>
      </c>
      <c r="T134" t="s">
        <v>2353</v>
      </c>
    </row>
    <row r="135" spans="2:24" x14ac:dyDescent="0.25">
      <c r="G135">
        <f>17-2-1-2-1</f>
        <v>11</v>
      </c>
      <c r="N135">
        <v>-2</v>
      </c>
      <c r="O135">
        <v>-2</v>
      </c>
      <c r="P135" t="s">
        <v>870</v>
      </c>
      <c r="R135" t="s">
        <v>2355</v>
      </c>
      <c r="S135" t="s">
        <v>1945</v>
      </c>
      <c r="T135" t="s">
        <v>2036</v>
      </c>
    </row>
    <row r="136" spans="2:24" x14ac:dyDescent="0.25">
      <c r="B136">
        <v>62</v>
      </c>
      <c r="C136">
        <f>8*6</f>
        <v>48</v>
      </c>
      <c r="D136">
        <f>11*7</f>
        <v>77</v>
      </c>
      <c r="E136">
        <f>7*14</f>
        <v>98</v>
      </c>
      <c r="F136">
        <f>7*17</f>
        <v>119</v>
      </c>
      <c r="G136">
        <f>6/20</f>
        <v>0.3</v>
      </c>
      <c r="H136">
        <f>G134/G137</f>
        <v>31.481481481481485</v>
      </c>
      <c r="M136">
        <v>-1</v>
      </c>
      <c r="N136">
        <v>-1</v>
      </c>
      <c r="O136">
        <v>-1</v>
      </c>
      <c r="P136" t="s">
        <v>966</v>
      </c>
      <c r="R136" t="s">
        <v>2356</v>
      </c>
      <c r="S136" t="s">
        <v>1946</v>
      </c>
      <c r="T136" t="s">
        <v>2330</v>
      </c>
    </row>
    <row r="137" spans="2:24" x14ac:dyDescent="0.25">
      <c r="B137">
        <f>B136+26</f>
        <v>88</v>
      </c>
      <c r="C137">
        <f>C136+26</f>
        <v>74</v>
      </c>
      <c r="D137">
        <f>D136+26</f>
        <v>103</v>
      </c>
      <c r="E137">
        <f>E136+26</f>
        <v>124</v>
      </c>
      <c r="F137">
        <f>F136+26</f>
        <v>145</v>
      </c>
      <c r="G137">
        <f>G136*4*(3.5+1)</f>
        <v>5.3999999999999995</v>
      </c>
      <c r="M137">
        <v>-2</v>
      </c>
      <c r="N137">
        <v>-2</v>
      </c>
      <c r="O137">
        <v>-2</v>
      </c>
      <c r="P137" t="s">
        <v>2267</v>
      </c>
      <c r="R137" t="s">
        <v>2042</v>
      </c>
      <c r="T137" t="s">
        <v>2459</v>
      </c>
    </row>
    <row r="138" spans="2:24" x14ac:dyDescent="0.25">
      <c r="B138">
        <f>B137*3</f>
        <v>264</v>
      </c>
      <c r="C138">
        <f>C137*3</f>
        <v>222</v>
      </c>
      <c r="D138">
        <f>D137*3</f>
        <v>309</v>
      </c>
      <c r="E138">
        <f>E137*3</f>
        <v>372</v>
      </c>
      <c r="F138">
        <f>F137*3</f>
        <v>435</v>
      </c>
      <c r="M138">
        <v>-4</v>
      </c>
      <c r="N138">
        <v>-2</v>
      </c>
      <c r="P138" t="s">
        <v>800</v>
      </c>
      <c r="R138" t="s">
        <v>2357</v>
      </c>
    </row>
    <row r="139" spans="2:24" x14ac:dyDescent="0.25">
      <c r="M139">
        <v>-8</v>
      </c>
      <c r="P139" t="s">
        <v>783</v>
      </c>
      <c r="R139" t="s">
        <v>2358</v>
      </c>
    </row>
    <row r="140" spans="2:24" x14ac:dyDescent="0.25">
      <c r="C140" t="s">
        <v>1238</v>
      </c>
      <c r="I140" t="s">
        <v>2073</v>
      </c>
      <c r="M140">
        <f>SUM(M134:M139)</f>
        <v>-19</v>
      </c>
      <c r="N140">
        <f>SUM(N134:N139)</f>
        <v>-11</v>
      </c>
      <c r="O140">
        <f>SUM(O134:O139)</f>
        <v>-9</v>
      </c>
      <c r="R140" t="s">
        <v>2359</v>
      </c>
    </row>
    <row r="141" spans="2:24" x14ac:dyDescent="0.25">
      <c r="C141" t="s">
        <v>626</v>
      </c>
      <c r="I141" t="s">
        <v>2074</v>
      </c>
      <c r="R141" t="s">
        <v>2360</v>
      </c>
      <c r="X141">
        <f>2*(1+1)*2/2</f>
        <v>4</v>
      </c>
    </row>
    <row r="142" spans="2:24" x14ac:dyDescent="0.25">
      <c r="C142" t="s">
        <v>632</v>
      </c>
      <c r="I142" t="s">
        <v>1092</v>
      </c>
      <c r="V142" t="s">
        <v>2308</v>
      </c>
      <c r="W142" t="s">
        <v>2308</v>
      </c>
    </row>
    <row r="143" spans="2:24" x14ac:dyDescent="0.25">
      <c r="C143" t="s">
        <v>630</v>
      </c>
      <c r="F143">
        <f>(1+0.5+0.5+0.5+1)*(3.5+5+3+2+3+1)</f>
        <v>61.25</v>
      </c>
      <c r="I143" t="s">
        <v>1096</v>
      </c>
      <c r="T143" t="s">
        <v>2362</v>
      </c>
      <c r="U143" t="s">
        <v>1308</v>
      </c>
      <c r="V143" t="s">
        <v>2362</v>
      </c>
      <c r="W143" t="s">
        <v>1308</v>
      </c>
    </row>
    <row r="144" spans="2:24" x14ac:dyDescent="0.25">
      <c r="G144">
        <f>(1+1)*2</f>
        <v>4</v>
      </c>
      <c r="I144" t="s">
        <v>1002</v>
      </c>
      <c r="S144" t="s">
        <v>212</v>
      </c>
      <c r="T144">
        <v>10</v>
      </c>
      <c r="U144">
        <v>10</v>
      </c>
      <c r="V144">
        <v>-1</v>
      </c>
      <c r="W144">
        <v>-1</v>
      </c>
    </row>
    <row r="145" spans="1:23" x14ac:dyDescent="0.25">
      <c r="G145">
        <f>G144*2</f>
        <v>8</v>
      </c>
      <c r="I145" t="s">
        <v>1932</v>
      </c>
      <c r="L145">
        <f>0.9^6</f>
        <v>0.53144100000000016</v>
      </c>
      <c r="S145" t="s">
        <v>1453</v>
      </c>
      <c r="T145">
        <v>-2</v>
      </c>
      <c r="U145">
        <v>-4</v>
      </c>
      <c r="V145">
        <v>-2</v>
      </c>
      <c r="W145">
        <v>-4</v>
      </c>
    </row>
    <row r="146" spans="1:23" x14ac:dyDescent="0.25">
      <c r="G146">
        <f>G145/2</f>
        <v>4</v>
      </c>
      <c r="I146" t="s">
        <v>1029</v>
      </c>
      <c r="M146">
        <v>0.98</v>
      </c>
      <c r="N146">
        <f>M146-0.2</f>
        <v>0.78</v>
      </c>
      <c r="O146">
        <f>N146-0.2</f>
        <v>0.58000000000000007</v>
      </c>
      <c r="P146">
        <f>O146-0.2</f>
        <v>0.38000000000000006</v>
      </c>
      <c r="Q146">
        <f>P146-0.2</f>
        <v>0.18000000000000005</v>
      </c>
      <c r="S146" t="s">
        <v>1600</v>
      </c>
      <c r="T146">
        <v>-1</v>
      </c>
      <c r="V146">
        <v>-1</v>
      </c>
    </row>
    <row r="147" spans="1:23" x14ac:dyDescent="0.25">
      <c r="G147">
        <f>G146*5</f>
        <v>20</v>
      </c>
      <c r="I147" t="s">
        <v>2361</v>
      </c>
      <c r="M147">
        <f>M146^6</f>
        <v>0.8858423808639998</v>
      </c>
      <c r="N147">
        <f>N146^6</f>
        <v>0.22519960070400005</v>
      </c>
      <c r="O147">
        <f>O146^6</f>
        <v>3.8068692544000034E-2</v>
      </c>
      <c r="P147">
        <f>P146^6</f>
        <v>3.0109363840000038E-3</v>
      </c>
      <c r="Q147">
        <f>Q146^6</f>
        <v>3.4012224000000059E-5</v>
      </c>
      <c r="S147" t="s">
        <v>155</v>
      </c>
      <c r="T147">
        <v>-4</v>
      </c>
      <c r="U147">
        <v>-4</v>
      </c>
      <c r="V147">
        <v>-4</v>
      </c>
      <c r="W147">
        <v>-4</v>
      </c>
    </row>
    <row r="148" spans="1:23" x14ac:dyDescent="0.25">
      <c r="I148" t="s">
        <v>2078</v>
      </c>
      <c r="S148" t="s">
        <v>1225</v>
      </c>
      <c r="T148">
        <v>-1</v>
      </c>
      <c r="U148">
        <v>-1</v>
      </c>
      <c r="V148">
        <v>-1</v>
      </c>
      <c r="W148">
        <v>-1</v>
      </c>
    </row>
    <row r="149" spans="1:23" x14ac:dyDescent="0.25">
      <c r="A149" t="s">
        <v>212</v>
      </c>
      <c r="B149">
        <v>-1</v>
      </c>
      <c r="I149" t="s">
        <v>96</v>
      </c>
      <c r="P149">
        <f>11-3-10-3-1-2</f>
        <v>-8</v>
      </c>
      <c r="S149" t="s">
        <v>1192</v>
      </c>
      <c r="T149">
        <v>-1</v>
      </c>
      <c r="U149">
        <v>-1</v>
      </c>
      <c r="V149">
        <v>-1</v>
      </c>
      <c r="W149">
        <v>-1</v>
      </c>
    </row>
    <row r="150" spans="1:23" x14ac:dyDescent="0.25">
      <c r="A150" t="s">
        <v>1241</v>
      </c>
      <c r="B150">
        <v>-2</v>
      </c>
      <c r="I150" t="s">
        <v>2362</v>
      </c>
    </row>
    <row r="151" spans="1:23" x14ac:dyDescent="0.25">
      <c r="A151" t="s">
        <v>830</v>
      </c>
      <c r="B151">
        <v>-3</v>
      </c>
      <c r="F151">
        <f>(1+0.5+1)*(4.5+3+12)*0.75</f>
        <v>36.5625</v>
      </c>
      <c r="I151" t="s">
        <v>2363</v>
      </c>
      <c r="P151">
        <f>1-10-3-3-1-2</f>
        <v>-18</v>
      </c>
      <c r="R151">
        <f>0.75*2*(1+1)*2</f>
        <v>6</v>
      </c>
    </row>
    <row r="152" spans="1:23" x14ac:dyDescent="0.25">
      <c r="A152" t="s">
        <v>1225</v>
      </c>
      <c r="B152">
        <v>-1</v>
      </c>
      <c r="F152">
        <f>1172/F151</f>
        <v>32.054700854700855</v>
      </c>
      <c r="G152">
        <f>14-6-1-3</f>
        <v>4</v>
      </c>
      <c r="I152" t="s">
        <v>2364</v>
      </c>
      <c r="N152">
        <f>0.15*0.26</f>
        <v>3.9E-2</v>
      </c>
    </row>
    <row r="153" spans="1:23" x14ac:dyDescent="0.25">
      <c r="A153" t="s">
        <v>1512</v>
      </c>
      <c r="B153">
        <v>-1</v>
      </c>
      <c r="I153" t="s">
        <v>1103</v>
      </c>
      <c r="N153">
        <f>1-N152</f>
        <v>0.96099999999999997</v>
      </c>
      <c r="Q153">
        <f>3+0.5+0.5</f>
        <v>4</v>
      </c>
      <c r="R153">
        <f>1.6*(1+1)*2*2</f>
        <v>12.8</v>
      </c>
    </row>
    <row r="154" spans="1:23" x14ac:dyDescent="0.25">
      <c r="A154" t="s">
        <v>1661</v>
      </c>
      <c r="F154">
        <f>(1+0.5+0.5+0.5+1)*(3.5+3+3+3+2)</f>
        <v>50.75</v>
      </c>
      <c r="I154" t="s">
        <v>2365</v>
      </c>
      <c r="N154">
        <f>N153^16</f>
        <v>0.52914439805241986</v>
      </c>
      <c r="P154">
        <f>11-5-3-2-2-1-1-1-1</f>
        <v>-5</v>
      </c>
      <c r="Q154">
        <f>Q153*2</f>
        <v>8</v>
      </c>
      <c r="T154">
        <f>SUM(T144:T153)</f>
        <v>1</v>
      </c>
      <c r="U154">
        <f>SUM(U144:U153)</f>
        <v>0</v>
      </c>
      <c r="V154">
        <f>SUM(V144:V153)</f>
        <v>-10</v>
      </c>
      <c r="W154">
        <f>SUM(W144:W153)</f>
        <v>-11</v>
      </c>
    </row>
    <row r="155" spans="1:23" x14ac:dyDescent="0.25">
      <c r="A155" t="s">
        <v>922</v>
      </c>
      <c r="F155">
        <f>(1+1+0.5+0.5+1)*(3.5+2+3+3+2)</f>
        <v>54</v>
      </c>
      <c r="L155">
        <f>15</f>
        <v>15</v>
      </c>
      <c r="M155" t="s">
        <v>212</v>
      </c>
    </row>
    <row r="156" spans="1:23" x14ac:dyDescent="0.25">
      <c r="A156" t="s">
        <v>1463</v>
      </c>
      <c r="G156">
        <f>2*(3.5+3+12)</f>
        <v>37</v>
      </c>
      <c r="L156">
        <v>-1</v>
      </c>
      <c r="M156" t="s">
        <v>1540</v>
      </c>
      <c r="P156">
        <f>11-2-2-1-5-1-3-1-1-1-3-1</f>
        <v>-10</v>
      </c>
      <c r="R156">
        <f>0.5*Q154*6</f>
        <v>24</v>
      </c>
    </row>
    <row r="157" spans="1:23" x14ac:dyDescent="0.25">
      <c r="L157">
        <v>-1</v>
      </c>
      <c r="M157" t="s">
        <v>2267</v>
      </c>
    </row>
    <row r="158" spans="1:23" x14ac:dyDescent="0.25">
      <c r="B158">
        <f>SUM(B149:B157)</f>
        <v>-8</v>
      </c>
      <c r="C158">
        <f>SUM(C149:C157)</f>
        <v>0</v>
      </c>
      <c r="D158">
        <f>SUM(D149:D157)</f>
        <v>0</v>
      </c>
      <c r="E158">
        <f>SUM(E149:E157)</f>
        <v>0</v>
      </c>
      <c r="G158">
        <f>14-2-2-3-3-2</f>
        <v>2</v>
      </c>
      <c r="L158">
        <v>-2</v>
      </c>
      <c r="M158" t="s">
        <v>2362</v>
      </c>
    </row>
    <row r="159" spans="1:23" x14ac:dyDescent="0.25">
      <c r="L159">
        <v>-3</v>
      </c>
      <c r="M159" t="s">
        <v>155</v>
      </c>
    </row>
    <row r="160" spans="1:23" x14ac:dyDescent="0.25">
      <c r="G160">
        <f>0.25*0.5</f>
        <v>0.125</v>
      </c>
      <c r="L160">
        <v>-2</v>
      </c>
      <c r="M160" t="s">
        <v>75</v>
      </c>
    </row>
    <row r="161" spans="3:23" x14ac:dyDescent="0.25">
      <c r="G161">
        <f>G160*(3.5+2+3+3+2)</f>
        <v>1.6875</v>
      </c>
      <c r="N161">
        <f>0-4</f>
        <v>-4</v>
      </c>
    </row>
    <row r="162" spans="3:23" x14ac:dyDescent="0.25">
      <c r="N162">
        <f>N161-4-3-1-2-1-1-1</f>
        <v>-17</v>
      </c>
      <c r="U162">
        <f>8*(6+10+18)*0.7+8*(18)</f>
        <v>334.4</v>
      </c>
      <c r="V162">
        <f>1600/U162</f>
        <v>4.7846889952153111</v>
      </c>
    </row>
    <row r="163" spans="3:23" x14ac:dyDescent="0.25">
      <c r="F163">
        <f>14-6-2-3-3-2-1</f>
        <v>-3</v>
      </c>
      <c r="J163" t="s">
        <v>1238</v>
      </c>
      <c r="U163">
        <f>10-4-18</f>
        <v>-12</v>
      </c>
    </row>
    <row r="164" spans="3:23" x14ac:dyDescent="0.25">
      <c r="D164">
        <f>100-15.2</f>
        <v>84.8</v>
      </c>
      <c r="F164">
        <f>12+3</f>
        <v>15</v>
      </c>
      <c r="J164" t="s">
        <v>1816</v>
      </c>
      <c r="L164">
        <f>SUM(L155:L163)</f>
        <v>6</v>
      </c>
      <c r="N164">
        <f>(1+1+1)*2*0.5</f>
        <v>3</v>
      </c>
    </row>
    <row r="165" spans="3:23" x14ac:dyDescent="0.25">
      <c r="D165">
        <f>D164/100</f>
        <v>0.84799999999999998</v>
      </c>
      <c r="F165">
        <f>0.5*(4.5+6)</f>
        <v>5.25</v>
      </c>
      <c r="N165">
        <f>N164*5</f>
        <v>15</v>
      </c>
    </row>
    <row r="166" spans="3:23" x14ac:dyDescent="0.25">
      <c r="D166">
        <f>D165^2</f>
        <v>0.71910399999999997</v>
      </c>
    </row>
    <row r="167" spans="3:23" x14ac:dyDescent="0.25">
      <c r="C167">
        <f>100-30.4</f>
        <v>69.599999999999994</v>
      </c>
      <c r="D167">
        <f>1-D166</f>
        <v>0.28089600000000003</v>
      </c>
      <c r="S167">
        <f>6/20</f>
        <v>0.3</v>
      </c>
    </row>
    <row r="168" spans="3:23" x14ac:dyDescent="0.25">
      <c r="C168">
        <f>C167/100</f>
        <v>0.69599999999999995</v>
      </c>
      <c r="E168">
        <f>20*3*(3.5+3)</f>
        <v>390</v>
      </c>
      <c r="I168">
        <f>3.5*5*6</f>
        <v>105</v>
      </c>
      <c r="J168">
        <f>I168*2</f>
        <v>210</v>
      </c>
      <c r="K168">
        <f>J168*3</f>
        <v>630</v>
      </c>
      <c r="V168">
        <f>2+3+24</f>
        <v>29</v>
      </c>
    </row>
    <row r="169" spans="3:23" x14ac:dyDescent="0.25">
      <c r="C169">
        <f>C168^2</f>
        <v>0.48441599999999996</v>
      </c>
      <c r="F169">
        <f>1-0.24</f>
        <v>0.76</v>
      </c>
      <c r="G169">
        <f>11-4-1-2</f>
        <v>4</v>
      </c>
      <c r="N169">
        <f>10-5-3-24</f>
        <v>-22</v>
      </c>
      <c r="P169">
        <f>10*(6+4+3+12+6)</f>
        <v>310</v>
      </c>
      <c r="Q169">
        <f>10*(24+12+6)</f>
        <v>420</v>
      </c>
      <c r="R169">
        <f>10*(40+14+6)</f>
        <v>600</v>
      </c>
      <c r="S169">
        <f>Q169*0.7*0.7</f>
        <v>205.79999999999998</v>
      </c>
      <c r="T169">
        <f>R169*0.7</f>
        <v>420</v>
      </c>
      <c r="V169">
        <f>V168*10</f>
        <v>290</v>
      </c>
    </row>
    <row r="170" spans="3:23" x14ac:dyDescent="0.25">
      <c r="F170">
        <f>0.05*F169</f>
        <v>3.8000000000000006E-2</v>
      </c>
      <c r="G170">
        <f>12+4</f>
        <v>16</v>
      </c>
      <c r="M170">
        <f>(2+18+1)*5+14</f>
        <v>119</v>
      </c>
      <c r="P170">
        <f>P169-80</f>
        <v>230</v>
      </c>
      <c r="Q170">
        <f>Q169-80</f>
        <v>340</v>
      </c>
      <c r="R170">
        <f>R169-80</f>
        <v>520</v>
      </c>
      <c r="S170">
        <f>1600/S169</f>
        <v>7.7745383867832851</v>
      </c>
      <c r="T170">
        <f>1600/T169</f>
        <v>3.8095238095238093</v>
      </c>
      <c r="V170">
        <f>V169*0.7</f>
        <v>203</v>
      </c>
      <c r="W170">
        <f>1600/V170</f>
        <v>7.8817733990147785</v>
      </c>
    </row>
    <row r="171" spans="3:23" x14ac:dyDescent="0.25">
      <c r="D171">
        <f>20*(3+2)</f>
        <v>100</v>
      </c>
      <c r="G171">
        <f>20-G170</f>
        <v>4</v>
      </c>
      <c r="K171">
        <f>6+4+6+12+1+6</f>
        <v>35</v>
      </c>
      <c r="P171">
        <f>P170/3</f>
        <v>76.666666666666671</v>
      </c>
      <c r="Q171">
        <f>Q170/3</f>
        <v>113.33333333333333</v>
      </c>
      <c r="R171">
        <f>R170/3</f>
        <v>173.33333333333334</v>
      </c>
    </row>
    <row r="172" spans="3:23" x14ac:dyDescent="0.25">
      <c r="G172">
        <f>G171/20</f>
        <v>0.2</v>
      </c>
      <c r="R172">
        <f>3*(6+1+24)</f>
        <v>93</v>
      </c>
      <c r="U172">
        <f>10-6-6-1-1-1-1</f>
        <v>-6</v>
      </c>
    </row>
    <row r="173" spans="3:23" x14ac:dyDescent="0.25">
      <c r="G173">
        <f>0.4*F169</f>
        <v>0.30400000000000005</v>
      </c>
      <c r="R173">
        <f>3*(2+3+24)</f>
        <v>87</v>
      </c>
    </row>
    <row r="174" spans="3:23" x14ac:dyDescent="0.25">
      <c r="J174">
        <f>126*3+80</f>
        <v>458</v>
      </c>
      <c r="L174">
        <f>4/20</f>
        <v>0.2</v>
      </c>
    </row>
    <row r="175" spans="3:23" x14ac:dyDescent="0.25">
      <c r="L175">
        <f>0.9^6</f>
        <v>0.53144100000000016</v>
      </c>
      <c r="O175">
        <f>5.5*6</f>
        <v>33</v>
      </c>
    </row>
    <row r="176" spans="3:23" x14ac:dyDescent="0.25">
      <c r="O176">
        <f>70*3+80</f>
        <v>290</v>
      </c>
    </row>
    <row r="177" spans="4:21" x14ac:dyDescent="0.25">
      <c r="J177">
        <f>1+1+1</f>
        <v>3</v>
      </c>
      <c r="Q177" t="s">
        <v>1488</v>
      </c>
      <c r="U177">
        <f>5*(6+9+24)+14</f>
        <v>209</v>
      </c>
    </row>
    <row r="178" spans="4:21" x14ac:dyDescent="0.25">
      <c r="E178">
        <f>4.5/6</f>
        <v>0.75</v>
      </c>
      <c r="J178">
        <f>J177*2</f>
        <v>6</v>
      </c>
      <c r="Q178" t="s">
        <v>2368</v>
      </c>
    </row>
    <row r="179" spans="4:21" x14ac:dyDescent="0.25">
      <c r="J179">
        <f>J178*2</f>
        <v>12</v>
      </c>
      <c r="O179">
        <f>5*(6+9+24+1)+14</f>
        <v>214</v>
      </c>
      <c r="Q179" t="s">
        <v>1296</v>
      </c>
      <c r="U179">
        <f>90*3+80</f>
        <v>350</v>
      </c>
    </row>
    <row r="180" spans="4:21" x14ac:dyDescent="0.25">
      <c r="H180">
        <f>0.84^6</f>
        <v>0.35129803161599987</v>
      </c>
      <c r="I180">
        <f>0.84^12</f>
        <v>0.12341030701727604</v>
      </c>
      <c r="J180">
        <f>J179*5</f>
        <v>60</v>
      </c>
      <c r="O180">
        <f>5*(24+24)+14</f>
        <v>254</v>
      </c>
      <c r="Q180" t="s">
        <v>1297</v>
      </c>
    </row>
    <row r="181" spans="4:21" x14ac:dyDescent="0.25">
      <c r="E181">
        <f>250000/7000</f>
        <v>35.714285714285715</v>
      </c>
      <c r="H181">
        <f>H180^2</f>
        <v>0.12341030701727605</v>
      </c>
      <c r="M181">
        <f>6-7-1-1-2+2-18</f>
        <v>-21</v>
      </c>
      <c r="Q181" t="s">
        <v>1298</v>
      </c>
    </row>
    <row r="183" spans="4:21" x14ac:dyDescent="0.25">
      <c r="L183">
        <f>5*(2+12+6)</f>
        <v>100</v>
      </c>
    </row>
    <row r="184" spans="4:21" x14ac:dyDescent="0.25">
      <c r="E184">
        <f>19+19+19</f>
        <v>57</v>
      </c>
      <c r="L184">
        <f>3*(1.5+11)</f>
        <v>37.5</v>
      </c>
      <c r="P184">
        <f>0.8^6</f>
        <v>0.26214400000000015</v>
      </c>
      <c r="R184">
        <f>1000000-186</f>
        <v>999814</v>
      </c>
    </row>
    <row r="185" spans="4:21" x14ac:dyDescent="0.25">
      <c r="E185">
        <f>57-35</f>
        <v>22</v>
      </c>
      <c r="Q185">
        <f>10*(8.5+18)</f>
        <v>265</v>
      </c>
    </row>
    <row r="186" spans="4:21" x14ac:dyDescent="0.25">
      <c r="E186">
        <f>22*7000</f>
        <v>154000</v>
      </c>
      <c r="F186">
        <f>(1+1+1)*2*(2+14+2+1)</f>
        <v>114</v>
      </c>
      <c r="Q186">
        <f>10*(4+1+3+6+12)</f>
        <v>260</v>
      </c>
    </row>
    <row r="187" spans="4:21" x14ac:dyDescent="0.25">
      <c r="E187">
        <f>125000/7000</f>
        <v>17.857142857142858</v>
      </c>
      <c r="F187">
        <f>1.5+14</f>
        <v>15.5</v>
      </c>
      <c r="H187">
        <f>13-7-1-3</f>
        <v>2</v>
      </c>
    </row>
    <row r="188" spans="4:21" x14ac:dyDescent="0.25">
      <c r="D188">
        <f>13-7-3-1-1</f>
        <v>1</v>
      </c>
      <c r="E188">
        <f>161000/7000</f>
        <v>23</v>
      </c>
      <c r="L188">
        <f>0.85^6</f>
        <v>0.37714951562499988</v>
      </c>
      <c r="M188">
        <f>3+2+4+1</f>
        <v>10</v>
      </c>
      <c r="O188" t="s">
        <v>407</v>
      </c>
      <c r="P188" t="s">
        <v>495</v>
      </c>
    </row>
    <row r="189" spans="4:21" x14ac:dyDescent="0.25">
      <c r="O189">
        <v>8</v>
      </c>
      <c r="P189">
        <v>0.7</v>
      </c>
    </row>
    <row r="190" spans="4:21" x14ac:dyDescent="0.25">
      <c r="N190" t="s">
        <v>2369</v>
      </c>
      <c r="O190">
        <v>2</v>
      </c>
      <c r="U190">
        <f>3.5*17</f>
        <v>59.5</v>
      </c>
    </row>
    <row r="191" spans="4:21" x14ac:dyDescent="0.25">
      <c r="G191">
        <f>13-6-2-3-3-2-2-1</f>
        <v>-6</v>
      </c>
      <c r="O191">
        <f>(O189+O190)/20</f>
        <v>0.5</v>
      </c>
      <c r="P191">
        <f>1-(P189-P190)</f>
        <v>0.30000000000000004</v>
      </c>
      <c r="Q191">
        <f>O191*P191</f>
        <v>0.15000000000000002</v>
      </c>
      <c r="R191">
        <f>1-Q191</f>
        <v>0.85</v>
      </c>
      <c r="U191">
        <f>U190*6</f>
        <v>357</v>
      </c>
    </row>
    <row r="192" spans="4:21" x14ac:dyDescent="0.25">
      <c r="D192">
        <f>0.75*0.3*(1+0.5+0.5+1)*(2.5+4+14+2)</f>
        <v>15.187499999999998</v>
      </c>
      <c r="E192">
        <f>6.5*4*0.5</f>
        <v>13</v>
      </c>
      <c r="R192">
        <f>R191^6</f>
        <v>0.37714951562499988</v>
      </c>
    </row>
    <row r="193" spans="3:20" x14ac:dyDescent="0.25">
      <c r="D193">
        <f>D192+E192</f>
        <v>28.1875</v>
      </c>
      <c r="E193">
        <f>14-6-2-3-2-3-2</f>
        <v>-4</v>
      </c>
      <c r="F193">
        <f>11-6-2-3-3-4-2</f>
        <v>-9</v>
      </c>
      <c r="I193">
        <f>(2.5+3+2)*5</f>
        <v>37.5</v>
      </c>
    </row>
    <row r="194" spans="3:20" x14ac:dyDescent="0.25">
      <c r="D194">
        <f>1172/D193</f>
        <v>41.578713968957871</v>
      </c>
      <c r="E194">
        <f>(2+0.5+0.5+1)*(3.5+2+4+3+2)</f>
        <v>58</v>
      </c>
      <c r="F194">
        <f>(2+0.5+0.5+1)*(3.5+2+5+3+2)</f>
        <v>62</v>
      </c>
      <c r="T194">
        <f>44*3+80</f>
        <v>212</v>
      </c>
    </row>
    <row r="195" spans="3:20" x14ac:dyDescent="0.25">
      <c r="E195">
        <f>(3.5+2+4+3+2)</f>
        <v>14.5</v>
      </c>
      <c r="G195">
        <f>E194*0.5*0.55</f>
        <v>15.950000000000001</v>
      </c>
      <c r="O195" t="s">
        <v>407</v>
      </c>
      <c r="P195" t="s">
        <v>495</v>
      </c>
    </row>
    <row r="196" spans="3:20" x14ac:dyDescent="0.25">
      <c r="D196">
        <f>0.75*0.15*(1+0.5+0.5+1)*(2.5+4+14+2)</f>
        <v>7.5937499999999991</v>
      </c>
      <c r="E196">
        <f>6.5*4*0.5</f>
        <v>13</v>
      </c>
      <c r="G196">
        <f>1172/G195</f>
        <v>73.479623824451409</v>
      </c>
      <c r="H196">
        <f>(3.5+3+14)</f>
        <v>20.5</v>
      </c>
      <c r="O196">
        <v>8</v>
      </c>
      <c r="P196">
        <v>0.7</v>
      </c>
    </row>
    <row r="197" spans="3:20" x14ac:dyDescent="0.25">
      <c r="D197">
        <f>D196+E196</f>
        <v>20.59375</v>
      </c>
      <c r="E197">
        <f>14-6-2-3-2-3-2</f>
        <v>-4</v>
      </c>
      <c r="N197" t="s">
        <v>2369</v>
      </c>
      <c r="O197">
        <v>2</v>
      </c>
      <c r="P197">
        <v>0.3</v>
      </c>
    </row>
    <row r="198" spans="3:20" x14ac:dyDescent="0.25">
      <c r="D198">
        <f>1172/D197</f>
        <v>56.910470409711685</v>
      </c>
      <c r="E198">
        <f>(2+0.5+0.5+1)*(3.5+2+3+3+2)</f>
        <v>54</v>
      </c>
      <c r="O198">
        <f>(O196+O197)/20</f>
        <v>0.5</v>
      </c>
      <c r="P198">
        <f>1-(P196-P197)</f>
        <v>0.60000000000000009</v>
      </c>
      <c r="Q198">
        <f>O198*P198</f>
        <v>0.30000000000000004</v>
      </c>
      <c r="R198">
        <f>1-Q198</f>
        <v>0.7</v>
      </c>
    </row>
    <row r="199" spans="3:20" x14ac:dyDescent="0.25">
      <c r="R199">
        <f>R198^6</f>
        <v>0.11764899999999995</v>
      </c>
    </row>
    <row r="201" spans="3:20" x14ac:dyDescent="0.25">
      <c r="C201" s="9" t="s">
        <v>1078</v>
      </c>
      <c r="D201" s="9" t="s">
        <v>1801</v>
      </c>
      <c r="E201" s="9" t="s">
        <v>1598</v>
      </c>
      <c r="F201" s="9"/>
      <c r="G201" s="9"/>
      <c r="H201" s="9"/>
      <c r="I201" s="9"/>
      <c r="J201" s="9"/>
      <c r="K201" s="9"/>
      <c r="L201" s="9"/>
      <c r="M201" s="9"/>
    </row>
    <row r="202" spans="3:20" x14ac:dyDescent="0.25">
      <c r="C202" s="9" t="s">
        <v>819</v>
      </c>
      <c r="D202" s="9" t="s">
        <v>1756</v>
      </c>
      <c r="E202" s="9"/>
      <c r="F202" s="9"/>
      <c r="G202" s="9"/>
      <c r="H202" s="9"/>
      <c r="I202" s="9" t="s">
        <v>4086</v>
      </c>
      <c r="J202" s="9">
        <f>4*1400+7000</f>
        <v>12600</v>
      </c>
      <c r="K202" s="9"/>
      <c r="L202" s="9"/>
      <c r="M202" s="9"/>
      <c r="N202" s="9"/>
    </row>
    <row r="203" spans="3:20" x14ac:dyDescent="0.25">
      <c r="C203" s="9" t="s">
        <v>1140</v>
      </c>
      <c r="D203" s="9" t="s">
        <v>797</v>
      </c>
      <c r="E203" s="9"/>
      <c r="F203" s="9"/>
      <c r="G203" s="9"/>
      <c r="H203" s="9"/>
      <c r="I203" s="9" t="s">
        <v>4087</v>
      </c>
      <c r="J203" s="9">
        <f>J202+4000</f>
        <v>16600</v>
      </c>
      <c r="K203" s="9"/>
      <c r="L203" s="9"/>
      <c r="M203" s="9"/>
      <c r="N203" s="9"/>
    </row>
    <row r="204" spans="3:20" x14ac:dyDescent="0.25">
      <c r="C204" s="9" t="s">
        <v>1079</v>
      </c>
      <c r="D204" s="9" t="s">
        <v>1141</v>
      </c>
      <c r="E204" s="9"/>
      <c r="F204" s="9"/>
      <c r="G204" s="9"/>
      <c r="H204" s="9"/>
      <c r="I204" s="9" t="s">
        <v>4088</v>
      </c>
      <c r="J204" s="9">
        <f>10*975+J203</f>
        <v>26350</v>
      </c>
      <c r="K204" s="9"/>
      <c r="L204" s="9"/>
      <c r="M204" s="9"/>
      <c r="N204" s="9"/>
    </row>
    <row r="205" spans="3:20" x14ac:dyDescent="0.25">
      <c r="C205" s="9" t="s">
        <v>1674</v>
      </c>
      <c r="D205" s="9"/>
      <c r="E205" s="9"/>
      <c r="F205" s="9"/>
      <c r="G205" s="9"/>
      <c r="H205" s="9"/>
      <c r="I205" s="9"/>
      <c r="J205" s="9"/>
      <c r="K205" s="9"/>
      <c r="L205" s="9"/>
      <c r="M205" s="9"/>
      <c r="N205" s="9"/>
    </row>
    <row r="206" spans="3:20" x14ac:dyDescent="0.25">
      <c r="C206" s="9"/>
      <c r="D206" s="9"/>
      <c r="E206" s="9"/>
      <c r="F206" s="9"/>
      <c r="G206" s="9"/>
      <c r="H206" s="9"/>
      <c r="I206" s="9"/>
      <c r="J206" s="9"/>
      <c r="K206" s="9"/>
      <c r="L206" s="9"/>
      <c r="M206" s="9"/>
      <c r="N206" s="9"/>
    </row>
    <row r="207" spans="3:20" x14ac:dyDescent="0.25">
      <c r="C207" s="9" t="s">
        <v>797</v>
      </c>
      <c r="D207" s="9" t="s">
        <v>1140</v>
      </c>
      <c r="E207" s="9" t="s">
        <v>819</v>
      </c>
      <c r="F207" s="9"/>
      <c r="G207" s="9"/>
      <c r="H207" s="9"/>
      <c r="I207" s="9"/>
      <c r="J207" s="9"/>
      <c r="K207" s="9"/>
      <c r="L207" s="9"/>
      <c r="M207" s="9"/>
      <c r="N207" s="9"/>
    </row>
    <row r="208" spans="3:20" x14ac:dyDescent="0.25">
      <c r="D208" s="9" t="s">
        <v>1079</v>
      </c>
      <c r="E208" t="s">
        <v>1079</v>
      </c>
      <c r="K208">
        <f>(2+0.5+0.5+1)</f>
        <v>4</v>
      </c>
    </row>
    <row r="209" spans="4:11" x14ac:dyDescent="0.25">
      <c r="D209" s="9" t="s">
        <v>1674</v>
      </c>
      <c r="K209">
        <f>K208*(3.5+1+3+4+2)</f>
        <v>54</v>
      </c>
    </row>
    <row r="210" spans="4:11" x14ac:dyDescent="0.25">
      <c r="K210">
        <f>K209*0.5</f>
        <v>27</v>
      </c>
    </row>
    <row r="211" spans="4:11" x14ac:dyDescent="0.25">
      <c r="F211" t="s">
        <v>4084</v>
      </c>
      <c r="G211">
        <v>4000</v>
      </c>
      <c r="K211">
        <f>K208*7</f>
        <v>28</v>
      </c>
    </row>
    <row r="212" spans="4:11" x14ac:dyDescent="0.25">
      <c r="F212" t="s">
        <v>4085</v>
      </c>
      <c r="K212">
        <f>K210+K211</f>
        <v>55</v>
      </c>
    </row>
  </sheetData>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2:O28"/>
  <sheetViews>
    <sheetView topLeftCell="A10" workbookViewId="0">
      <selection activeCell="D16" sqref="D16"/>
    </sheetView>
  </sheetViews>
  <sheetFormatPr defaultRowHeight="15" x14ac:dyDescent="0.25"/>
  <cols>
    <col min="4" max="4" width="10.140625" customWidth="1"/>
    <col min="6" max="6" width="10.42578125" customWidth="1"/>
  </cols>
  <sheetData>
    <row r="2" spans="1:15" x14ac:dyDescent="0.25">
      <c r="A2" t="s">
        <v>2744</v>
      </c>
    </row>
    <row r="4" spans="1:15" x14ac:dyDescent="0.25">
      <c r="B4" t="s">
        <v>2748</v>
      </c>
    </row>
    <row r="5" spans="1:15" x14ac:dyDescent="0.25">
      <c r="B5" t="s">
        <v>2749</v>
      </c>
      <c r="J5" t="s">
        <v>2745</v>
      </c>
    </row>
    <row r="6" spans="1:15" x14ac:dyDescent="0.25">
      <c r="B6" t="s">
        <v>2753</v>
      </c>
      <c r="J6" t="s">
        <v>1193</v>
      </c>
      <c r="L6" t="s">
        <v>2746</v>
      </c>
    </row>
    <row r="7" spans="1:15" x14ac:dyDescent="0.25">
      <c r="B7" t="s">
        <v>2754</v>
      </c>
      <c r="J7" t="s">
        <v>2747</v>
      </c>
      <c r="L7" t="s">
        <v>2327</v>
      </c>
    </row>
    <row r="8" spans="1:15" x14ac:dyDescent="0.25">
      <c r="B8" t="s">
        <v>2755</v>
      </c>
    </row>
    <row r="9" spans="1:15" x14ac:dyDescent="0.25">
      <c r="B9" t="s">
        <v>91</v>
      </c>
    </row>
    <row r="10" spans="1:15" x14ac:dyDescent="0.25">
      <c r="B10" t="s">
        <v>232</v>
      </c>
      <c r="E10" t="s">
        <v>2750</v>
      </c>
      <c r="G10" t="s">
        <v>2751</v>
      </c>
    </row>
    <row r="11" spans="1:15" x14ac:dyDescent="0.25">
      <c r="B11" t="s">
        <v>2756</v>
      </c>
      <c r="E11" t="s">
        <v>1062</v>
      </c>
      <c r="G11" t="s">
        <v>2752</v>
      </c>
      <c r="J11" t="s">
        <v>2757</v>
      </c>
    </row>
    <row r="12" spans="1:15" x14ac:dyDescent="0.25">
      <c r="B12" t="s">
        <v>2760</v>
      </c>
      <c r="J12" t="s">
        <v>2498</v>
      </c>
      <c r="L12" t="s">
        <v>2758</v>
      </c>
      <c r="O12" t="s">
        <v>2759</v>
      </c>
    </row>
    <row r="13" spans="1:15" x14ac:dyDescent="0.25">
      <c r="J13" t="s">
        <v>2161</v>
      </c>
      <c r="L13" t="s">
        <v>2761</v>
      </c>
      <c r="O13" t="s">
        <v>2762</v>
      </c>
    </row>
    <row r="14" spans="1:15" x14ac:dyDescent="0.25">
      <c r="J14" t="s">
        <v>2763</v>
      </c>
      <c r="L14" t="s">
        <v>2764</v>
      </c>
      <c r="O14" t="s">
        <v>2765</v>
      </c>
    </row>
    <row r="15" spans="1:15" x14ac:dyDescent="0.25">
      <c r="J15" t="s">
        <v>2766</v>
      </c>
      <c r="L15" t="s">
        <v>2767</v>
      </c>
      <c r="O15" t="s">
        <v>2768</v>
      </c>
    </row>
    <row r="16" spans="1:15" x14ac:dyDescent="0.25">
      <c r="B16" t="s">
        <v>204</v>
      </c>
      <c r="D16" t="s">
        <v>2769</v>
      </c>
      <c r="F16">
        <f>91*2+3</f>
        <v>185</v>
      </c>
    </row>
    <row r="17" spans="2:12" x14ac:dyDescent="0.25">
      <c r="B17" s="1" t="s">
        <v>1348</v>
      </c>
      <c r="D17" t="s">
        <v>2770</v>
      </c>
      <c r="H17">
        <f>91*2+3</f>
        <v>185</v>
      </c>
    </row>
    <row r="18" spans="2:12" x14ac:dyDescent="0.25">
      <c r="B18" t="s">
        <v>2771</v>
      </c>
      <c r="D18" t="s">
        <v>2772</v>
      </c>
      <c r="H18">
        <f>2+3+93</f>
        <v>98</v>
      </c>
    </row>
    <row r="19" spans="2:12" x14ac:dyDescent="0.25">
      <c r="B19" s="4" t="s">
        <v>2773</v>
      </c>
      <c r="D19" t="s">
        <v>2786</v>
      </c>
    </row>
    <row r="20" spans="2:12" x14ac:dyDescent="0.25">
      <c r="B20" s="4" t="s">
        <v>1063</v>
      </c>
      <c r="D20" t="s">
        <v>2785</v>
      </c>
    </row>
    <row r="21" spans="2:12" x14ac:dyDescent="0.25">
      <c r="B21" t="s">
        <v>2161</v>
      </c>
      <c r="D21" t="s">
        <v>2774</v>
      </c>
      <c r="L21">
        <v>18</v>
      </c>
    </row>
    <row r="22" spans="2:12" x14ac:dyDescent="0.25">
      <c r="B22" t="s">
        <v>2775</v>
      </c>
      <c r="D22" t="s">
        <v>2776</v>
      </c>
      <c r="L22">
        <v>18</v>
      </c>
    </row>
    <row r="23" spans="2:12" x14ac:dyDescent="0.25">
      <c r="B23" t="s">
        <v>2775</v>
      </c>
      <c r="D23" t="s">
        <v>2781</v>
      </c>
      <c r="L23">
        <v>18</v>
      </c>
    </row>
    <row r="24" spans="2:12" x14ac:dyDescent="0.25">
      <c r="B24" t="s">
        <v>2777</v>
      </c>
      <c r="D24" t="s">
        <v>2778</v>
      </c>
      <c r="L24">
        <v>11</v>
      </c>
    </row>
    <row r="25" spans="2:12" x14ac:dyDescent="0.25">
      <c r="B25" t="s">
        <v>2777</v>
      </c>
      <c r="D25" t="s">
        <v>2779</v>
      </c>
      <c r="L25">
        <v>3</v>
      </c>
    </row>
    <row r="26" spans="2:12" x14ac:dyDescent="0.25">
      <c r="B26" t="s">
        <v>406</v>
      </c>
      <c r="D26" t="s">
        <v>2780</v>
      </c>
      <c r="L26">
        <v>3</v>
      </c>
    </row>
    <row r="27" spans="2:12" x14ac:dyDescent="0.25">
      <c r="B27" s="4" t="s">
        <v>2782</v>
      </c>
      <c r="D27" t="s">
        <v>2781</v>
      </c>
      <c r="L27">
        <f>SUM(L21:L26)</f>
        <v>71</v>
      </c>
    </row>
    <row r="28" spans="2:12" x14ac:dyDescent="0.25">
      <c r="B28" s="4" t="s">
        <v>2783</v>
      </c>
      <c r="D28" t="s">
        <v>2784</v>
      </c>
    </row>
  </sheetData>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2:Z447"/>
  <sheetViews>
    <sheetView topLeftCell="A330" workbookViewId="0">
      <selection activeCell="B342" sqref="B342:V389"/>
    </sheetView>
  </sheetViews>
  <sheetFormatPr defaultRowHeight="15" x14ac:dyDescent="0.25"/>
  <cols>
    <col min="2" max="2" width="22.42578125" customWidth="1"/>
    <col min="3" max="3" width="20.7109375" customWidth="1"/>
    <col min="4" max="4" width="28.5703125" customWidth="1"/>
    <col min="5" max="5" width="19.28515625" customWidth="1"/>
    <col min="6" max="6" width="12" customWidth="1"/>
    <col min="7" max="7" width="8.28515625" customWidth="1"/>
    <col min="8" max="8" width="12.5703125" customWidth="1"/>
  </cols>
  <sheetData>
    <row r="2" spans="1:12" x14ac:dyDescent="0.25">
      <c r="B2" s="9"/>
      <c r="C2" s="9" t="s">
        <v>1325</v>
      </c>
    </row>
    <row r="3" spans="1:12" x14ac:dyDescent="0.25">
      <c r="A3">
        <v>100</v>
      </c>
      <c r="B3" s="9" t="s">
        <v>1147</v>
      </c>
      <c r="C3" s="9">
        <v>7</v>
      </c>
      <c r="D3">
        <v>100</v>
      </c>
      <c r="E3" t="s">
        <v>2793</v>
      </c>
      <c r="F3">
        <v>100</v>
      </c>
      <c r="G3" t="s">
        <v>2790</v>
      </c>
      <c r="I3" s="9" t="s">
        <v>2789</v>
      </c>
      <c r="J3" s="9">
        <v>1</v>
      </c>
    </row>
    <row r="4" spans="1:12" x14ac:dyDescent="0.25">
      <c r="A4">
        <v>140</v>
      </c>
      <c r="B4" s="9" t="s">
        <v>2789</v>
      </c>
      <c r="C4" s="9">
        <v>17</v>
      </c>
      <c r="D4">
        <v>140</v>
      </c>
      <c r="E4" t="s">
        <v>2793</v>
      </c>
      <c r="F4">
        <v>140</v>
      </c>
      <c r="G4" t="s">
        <v>2789</v>
      </c>
      <c r="I4" s="9" t="s">
        <v>1147</v>
      </c>
      <c r="J4" s="9">
        <v>2</v>
      </c>
      <c r="K4" s="9">
        <v>1000</v>
      </c>
      <c r="L4">
        <f>K4+1000</f>
        <v>2000</v>
      </c>
    </row>
    <row r="5" spans="1:12" x14ac:dyDescent="0.25">
      <c r="B5" s="9" t="s">
        <v>2787</v>
      </c>
      <c r="C5" s="9">
        <v>10</v>
      </c>
      <c r="D5">
        <v>300</v>
      </c>
      <c r="E5" t="s">
        <v>2793</v>
      </c>
      <c r="F5">
        <v>300</v>
      </c>
      <c r="G5" t="s">
        <v>1147</v>
      </c>
      <c r="I5" s="9" t="s">
        <v>2787</v>
      </c>
      <c r="J5" s="9">
        <v>3</v>
      </c>
      <c r="K5">
        <f t="shared" ref="K5:K20" si="0">K4+L4</f>
        <v>3000</v>
      </c>
      <c r="L5">
        <f t="shared" ref="L5:L20" si="1">L4+1000</f>
        <v>3000</v>
      </c>
    </row>
    <row r="6" spans="1:12" x14ac:dyDescent="0.25">
      <c r="B6" s="9" t="s">
        <v>2788</v>
      </c>
      <c r="C6" s="9">
        <v>16</v>
      </c>
      <c r="D6">
        <v>2</v>
      </c>
      <c r="E6" t="s">
        <v>2792</v>
      </c>
      <c r="F6">
        <v>2</v>
      </c>
      <c r="G6" t="s">
        <v>2788</v>
      </c>
      <c r="I6" s="9" t="s">
        <v>2790</v>
      </c>
      <c r="J6" s="9">
        <v>4</v>
      </c>
      <c r="K6">
        <f t="shared" si="0"/>
        <v>6000</v>
      </c>
      <c r="L6">
        <f t="shared" si="1"/>
        <v>4000</v>
      </c>
    </row>
    <row r="7" spans="1:12" x14ac:dyDescent="0.25">
      <c r="B7" s="9" t="s">
        <v>2790</v>
      </c>
      <c r="C7" s="9">
        <v>18</v>
      </c>
      <c r="D7">
        <v>3</v>
      </c>
      <c r="E7" t="s">
        <v>2792</v>
      </c>
      <c r="F7">
        <v>3</v>
      </c>
      <c r="G7" t="s">
        <v>2787</v>
      </c>
      <c r="I7" s="9" t="s">
        <v>2788</v>
      </c>
      <c r="J7" s="9">
        <v>5</v>
      </c>
      <c r="K7">
        <f t="shared" si="0"/>
        <v>10000</v>
      </c>
      <c r="L7">
        <f t="shared" si="1"/>
        <v>5000</v>
      </c>
    </row>
    <row r="8" spans="1:12" x14ac:dyDescent="0.25">
      <c r="B8" s="9" t="s">
        <v>2791</v>
      </c>
      <c r="C8" s="9">
        <v>24</v>
      </c>
      <c r="D8">
        <v>5</v>
      </c>
      <c r="E8" t="s">
        <v>2792</v>
      </c>
      <c r="F8">
        <v>2</v>
      </c>
      <c r="G8" t="s">
        <v>2791</v>
      </c>
      <c r="I8" s="9" t="s">
        <v>2791</v>
      </c>
      <c r="J8" s="9">
        <v>6</v>
      </c>
      <c r="K8">
        <f t="shared" si="0"/>
        <v>15000</v>
      </c>
      <c r="L8">
        <f t="shared" si="1"/>
        <v>6000</v>
      </c>
    </row>
    <row r="9" spans="1:12" x14ac:dyDescent="0.25">
      <c r="J9" s="9">
        <v>7</v>
      </c>
      <c r="K9">
        <f t="shared" si="0"/>
        <v>21000</v>
      </c>
      <c r="L9">
        <f t="shared" si="1"/>
        <v>7000</v>
      </c>
    </row>
    <row r="10" spans="1:12" x14ac:dyDescent="0.25">
      <c r="B10" t="s">
        <v>2794</v>
      </c>
      <c r="G10" t="s">
        <v>2789</v>
      </c>
      <c r="H10" t="s">
        <v>2795</v>
      </c>
      <c r="I10" t="s">
        <v>2790</v>
      </c>
      <c r="J10" s="9">
        <v>8</v>
      </c>
      <c r="K10">
        <f t="shared" si="0"/>
        <v>28000</v>
      </c>
      <c r="L10">
        <f t="shared" si="1"/>
        <v>8000</v>
      </c>
    </row>
    <row r="11" spans="1:12" x14ac:dyDescent="0.25">
      <c r="J11" s="9">
        <v>9</v>
      </c>
      <c r="K11">
        <f t="shared" si="0"/>
        <v>36000</v>
      </c>
      <c r="L11">
        <f t="shared" si="1"/>
        <v>9000</v>
      </c>
    </row>
    <row r="12" spans="1:12" x14ac:dyDescent="0.25">
      <c r="B12" s="4" t="s">
        <v>2832</v>
      </c>
      <c r="D12" s="4" t="s">
        <v>2833</v>
      </c>
      <c r="F12" s="4" t="s">
        <v>2865</v>
      </c>
      <c r="H12" s="4" t="s">
        <v>2864</v>
      </c>
      <c r="J12" s="9">
        <v>10</v>
      </c>
      <c r="K12">
        <f t="shared" si="0"/>
        <v>45000</v>
      </c>
      <c r="L12">
        <f t="shared" si="1"/>
        <v>10000</v>
      </c>
    </row>
    <row r="13" spans="1:12" x14ac:dyDescent="0.25">
      <c r="B13" s="4" t="s">
        <v>2798</v>
      </c>
      <c r="C13" t="s">
        <v>2847</v>
      </c>
      <c r="D13" t="s">
        <v>2354</v>
      </c>
      <c r="E13" t="s">
        <v>1907</v>
      </c>
      <c r="F13" t="s">
        <v>2866</v>
      </c>
      <c r="H13" t="s">
        <v>2861</v>
      </c>
      <c r="J13" s="9">
        <v>11</v>
      </c>
      <c r="K13">
        <f t="shared" si="0"/>
        <v>55000</v>
      </c>
      <c r="L13">
        <f t="shared" si="1"/>
        <v>11000</v>
      </c>
    </row>
    <row r="14" spans="1:12" x14ac:dyDescent="0.25">
      <c r="B14" s="4" t="s">
        <v>2799</v>
      </c>
      <c r="D14" s="4" t="s">
        <v>2029</v>
      </c>
      <c r="F14" t="s">
        <v>2867</v>
      </c>
      <c r="H14" t="s">
        <v>2960</v>
      </c>
      <c r="J14" s="9">
        <v>12</v>
      </c>
      <c r="K14">
        <f t="shared" si="0"/>
        <v>66000</v>
      </c>
      <c r="L14">
        <f t="shared" si="1"/>
        <v>12000</v>
      </c>
    </row>
    <row r="15" spans="1:12" x14ac:dyDescent="0.25">
      <c r="B15" s="4" t="s">
        <v>2800</v>
      </c>
      <c r="C15" t="s">
        <v>2848</v>
      </c>
      <c r="D15" s="4" t="s">
        <v>2322</v>
      </c>
      <c r="F15" t="s">
        <v>2868</v>
      </c>
      <c r="H15" t="s">
        <v>2862</v>
      </c>
      <c r="J15" s="9">
        <v>13</v>
      </c>
      <c r="K15">
        <f t="shared" si="0"/>
        <v>78000</v>
      </c>
      <c r="L15">
        <f t="shared" si="1"/>
        <v>13000</v>
      </c>
    </row>
    <row r="16" spans="1:12" x14ac:dyDescent="0.25">
      <c r="B16" t="s">
        <v>2801</v>
      </c>
      <c r="D16" t="s">
        <v>2828</v>
      </c>
      <c r="F16" t="s">
        <v>2869</v>
      </c>
      <c r="H16" t="s">
        <v>2863</v>
      </c>
      <c r="J16" s="9">
        <v>14</v>
      </c>
      <c r="K16">
        <f t="shared" si="0"/>
        <v>91000</v>
      </c>
      <c r="L16">
        <f t="shared" si="1"/>
        <v>14000</v>
      </c>
    </row>
    <row r="17" spans="2:12" x14ac:dyDescent="0.25">
      <c r="B17" t="s">
        <v>2802</v>
      </c>
      <c r="D17" t="s">
        <v>2829</v>
      </c>
      <c r="F17" t="s">
        <v>2870</v>
      </c>
      <c r="J17" s="9">
        <v>15</v>
      </c>
      <c r="K17">
        <f t="shared" si="0"/>
        <v>105000</v>
      </c>
      <c r="L17">
        <f t="shared" si="1"/>
        <v>15000</v>
      </c>
    </row>
    <row r="18" spans="2:12" x14ac:dyDescent="0.25">
      <c r="B18" s="4" t="s">
        <v>1340</v>
      </c>
      <c r="C18" t="s">
        <v>2849</v>
      </c>
      <c r="D18" t="s">
        <v>1946</v>
      </c>
      <c r="E18" t="s">
        <v>2845</v>
      </c>
      <c r="F18" t="s">
        <v>2871</v>
      </c>
      <c r="J18">
        <v>16</v>
      </c>
      <c r="K18">
        <f t="shared" si="0"/>
        <v>120000</v>
      </c>
      <c r="L18">
        <f t="shared" si="1"/>
        <v>16000</v>
      </c>
    </row>
    <row r="19" spans="2:12" x14ac:dyDescent="0.25">
      <c r="B19" s="4" t="s">
        <v>2803</v>
      </c>
      <c r="D19" t="s">
        <v>1944</v>
      </c>
      <c r="E19" t="s">
        <v>2846</v>
      </c>
      <c r="F19" t="s">
        <v>2872</v>
      </c>
      <c r="J19">
        <v>17</v>
      </c>
      <c r="K19">
        <f t="shared" si="0"/>
        <v>136000</v>
      </c>
      <c r="L19">
        <f t="shared" si="1"/>
        <v>17000</v>
      </c>
    </row>
    <row r="20" spans="2:12" x14ac:dyDescent="0.25">
      <c r="B20" t="s">
        <v>2804</v>
      </c>
      <c r="D20" t="s">
        <v>2830</v>
      </c>
      <c r="F20" t="s">
        <v>2873</v>
      </c>
      <c r="J20" s="9">
        <v>18</v>
      </c>
      <c r="K20">
        <f t="shared" si="0"/>
        <v>153000</v>
      </c>
      <c r="L20">
        <f t="shared" si="1"/>
        <v>18000</v>
      </c>
    </row>
    <row r="21" spans="2:12" x14ac:dyDescent="0.25">
      <c r="B21" t="s">
        <v>2805</v>
      </c>
      <c r="D21" t="s">
        <v>2355</v>
      </c>
      <c r="E21" t="s">
        <v>2844</v>
      </c>
      <c r="F21" t="s">
        <v>2874</v>
      </c>
      <c r="J21" s="9">
        <v>19</v>
      </c>
      <c r="K21">
        <f t="shared" ref="K21:K32" si="2">K20+L20</f>
        <v>171000</v>
      </c>
      <c r="L21">
        <f t="shared" ref="L21:L32" si="3">L20+1000</f>
        <v>19000</v>
      </c>
    </row>
    <row r="22" spans="2:12" x14ac:dyDescent="0.25">
      <c r="B22" t="s">
        <v>2806</v>
      </c>
      <c r="D22" t="s">
        <v>2831</v>
      </c>
      <c r="F22" t="s">
        <v>2875</v>
      </c>
      <c r="J22" s="9">
        <v>20</v>
      </c>
      <c r="K22">
        <f t="shared" si="2"/>
        <v>190000</v>
      </c>
      <c r="L22">
        <f t="shared" si="3"/>
        <v>20000</v>
      </c>
    </row>
    <row r="23" spans="2:12" x14ac:dyDescent="0.25">
      <c r="B23" t="s">
        <v>2807</v>
      </c>
      <c r="D23" s="4" t="s">
        <v>2796</v>
      </c>
      <c r="F23" t="s">
        <v>2876</v>
      </c>
      <c r="J23" s="9">
        <v>21</v>
      </c>
      <c r="K23">
        <f t="shared" si="2"/>
        <v>210000</v>
      </c>
      <c r="L23">
        <f t="shared" si="3"/>
        <v>21000</v>
      </c>
    </row>
    <row r="24" spans="2:12" x14ac:dyDescent="0.25">
      <c r="B24" s="4" t="s">
        <v>2808</v>
      </c>
      <c r="D24" s="4" t="s">
        <v>2797</v>
      </c>
      <c r="F24" t="s">
        <v>2877</v>
      </c>
      <c r="J24" s="9">
        <v>22</v>
      </c>
      <c r="K24">
        <f t="shared" si="2"/>
        <v>231000</v>
      </c>
      <c r="L24">
        <f t="shared" si="3"/>
        <v>22000</v>
      </c>
    </row>
    <row r="25" spans="2:12" x14ac:dyDescent="0.25">
      <c r="B25" t="s">
        <v>2809</v>
      </c>
      <c r="D25" t="s">
        <v>2834</v>
      </c>
      <c r="F25" t="s">
        <v>2878</v>
      </c>
      <c r="J25" s="9">
        <v>23</v>
      </c>
      <c r="K25">
        <f t="shared" si="2"/>
        <v>253000</v>
      </c>
      <c r="L25">
        <f t="shared" si="3"/>
        <v>23000</v>
      </c>
    </row>
    <row r="26" spans="2:12" x14ac:dyDescent="0.25">
      <c r="B26" t="s">
        <v>2810</v>
      </c>
      <c r="D26" s="4" t="s">
        <v>2835</v>
      </c>
      <c r="F26" t="s">
        <v>2879</v>
      </c>
      <c r="J26" s="9">
        <v>24</v>
      </c>
      <c r="K26">
        <f t="shared" si="2"/>
        <v>276000</v>
      </c>
      <c r="L26">
        <f t="shared" si="3"/>
        <v>24000</v>
      </c>
    </row>
    <row r="27" spans="2:12" x14ac:dyDescent="0.25">
      <c r="B27" s="4" t="s">
        <v>2775</v>
      </c>
      <c r="C27" t="s">
        <v>2850</v>
      </c>
      <c r="D27" s="4" t="s">
        <v>2836</v>
      </c>
      <c r="F27" t="s">
        <v>2880</v>
      </c>
      <c r="J27" s="9">
        <v>25</v>
      </c>
      <c r="K27">
        <f t="shared" si="2"/>
        <v>300000</v>
      </c>
      <c r="L27">
        <f t="shared" si="3"/>
        <v>25000</v>
      </c>
    </row>
    <row r="28" spans="2:12" x14ac:dyDescent="0.25">
      <c r="B28" t="s">
        <v>2811</v>
      </c>
      <c r="D28" t="s">
        <v>2837</v>
      </c>
      <c r="F28" t="s">
        <v>2881</v>
      </c>
      <c r="J28" s="9">
        <v>26</v>
      </c>
      <c r="K28">
        <f t="shared" si="2"/>
        <v>325000</v>
      </c>
      <c r="L28">
        <f t="shared" si="3"/>
        <v>26000</v>
      </c>
    </row>
    <row r="29" spans="2:12" x14ac:dyDescent="0.25">
      <c r="B29" s="4" t="s">
        <v>2812</v>
      </c>
      <c r="D29" t="s">
        <v>2838</v>
      </c>
      <c r="F29" t="s">
        <v>2882</v>
      </c>
      <c r="J29" s="9">
        <v>27</v>
      </c>
      <c r="K29">
        <f t="shared" si="2"/>
        <v>351000</v>
      </c>
      <c r="L29">
        <f t="shared" si="3"/>
        <v>27000</v>
      </c>
    </row>
    <row r="30" spans="2:12" x14ac:dyDescent="0.25">
      <c r="B30" s="4" t="s">
        <v>2813</v>
      </c>
      <c r="D30" t="s">
        <v>2839</v>
      </c>
      <c r="F30" t="s">
        <v>2883</v>
      </c>
      <c r="J30" s="9">
        <v>28</v>
      </c>
      <c r="K30">
        <f t="shared" si="2"/>
        <v>378000</v>
      </c>
      <c r="L30">
        <f t="shared" si="3"/>
        <v>28000</v>
      </c>
    </row>
    <row r="31" spans="2:12" x14ac:dyDescent="0.25">
      <c r="B31" t="s">
        <v>2815</v>
      </c>
      <c r="D31" t="s">
        <v>2469</v>
      </c>
      <c r="E31" t="s">
        <v>2843</v>
      </c>
      <c r="F31" t="s">
        <v>2884</v>
      </c>
      <c r="J31" s="9">
        <v>29</v>
      </c>
      <c r="K31">
        <f t="shared" si="2"/>
        <v>406000</v>
      </c>
      <c r="L31">
        <f t="shared" si="3"/>
        <v>29000</v>
      </c>
    </row>
    <row r="32" spans="2:12" x14ac:dyDescent="0.25">
      <c r="B32" t="s">
        <v>2814</v>
      </c>
      <c r="D32" s="4" t="s">
        <v>2404</v>
      </c>
      <c r="E32" t="s">
        <v>2842</v>
      </c>
      <c r="F32" t="s">
        <v>2885</v>
      </c>
      <c r="J32" s="9">
        <v>30</v>
      </c>
      <c r="K32">
        <f t="shared" si="2"/>
        <v>435000</v>
      </c>
      <c r="L32">
        <f t="shared" si="3"/>
        <v>30000</v>
      </c>
    </row>
    <row r="33" spans="2:6" x14ac:dyDescent="0.25">
      <c r="B33" t="s">
        <v>2816</v>
      </c>
      <c r="D33" s="4" t="s">
        <v>2840</v>
      </c>
      <c r="E33" t="s">
        <v>2841</v>
      </c>
    </row>
    <row r="34" spans="2:6" x14ac:dyDescent="0.25">
      <c r="B34" t="s">
        <v>2817</v>
      </c>
      <c r="D34" t="s">
        <v>2853</v>
      </c>
    </row>
    <row r="35" spans="2:6" x14ac:dyDescent="0.25">
      <c r="B35" t="s">
        <v>2818</v>
      </c>
      <c r="D35" s="4" t="s">
        <v>2498</v>
      </c>
      <c r="F35" t="s">
        <v>3047</v>
      </c>
    </row>
    <row r="36" spans="2:6" x14ac:dyDescent="0.25">
      <c r="B36" s="4" t="s">
        <v>2819</v>
      </c>
      <c r="C36" t="s">
        <v>2851</v>
      </c>
      <c r="D36" t="s">
        <v>2854</v>
      </c>
      <c r="F36" t="s">
        <v>3048</v>
      </c>
    </row>
    <row r="37" spans="2:6" x14ac:dyDescent="0.25">
      <c r="B37" t="s">
        <v>2820</v>
      </c>
      <c r="C37" t="s">
        <v>2852</v>
      </c>
      <c r="D37" t="s">
        <v>2855</v>
      </c>
      <c r="F37" t="s">
        <v>3053</v>
      </c>
    </row>
    <row r="38" spans="2:6" x14ac:dyDescent="0.25">
      <c r="B38" s="4" t="s">
        <v>2821</v>
      </c>
      <c r="D38" t="s">
        <v>2856</v>
      </c>
      <c r="F38" t="s">
        <v>3049</v>
      </c>
    </row>
    <row r="39" spans="2:6" x14ac:dyDescent="0.25">
      <c r="B39" s="4" t="s">
        <v>2822</v>
      </c>
      <c r="D39" t="s">
        <v>2857</v>
      </c>
      <c r="F39" t="s">
        <v>3057</v>
      </c>
    </row>
    <row r="40" spans="2:6" x14ac:dyDescent="0.25">
      <c r="B40" t="s">
        <v>2823</v>
      </c>
      <c r="D40" t="s">
        <v>1056</v>
      </c>
      <c r="F40" t="s">
        <v>3050</v>
      </c>
    </row>
    <row r="41" spans="2:6" x14ac:dyDescent="0.25">
      <c r="B41" t="s">
        <v>2824</v>
      </c>
      <c r="D41" t="s">
        <v>2858</v>
      </c>
      <c r="F41" t="s">
        <v>3054</v>
      </c>
    </row>
    <row r="42" spans="2:6" x14ac:dyDescent="0.25">
      <c r="B42" s="4" t="s">
        <v>2825</v>
      </c>
      <c r="D42" t="s">
        <v>2859</v>
      </c>
      <c r="F42" t="s">
        <v>3055</v>
      </c>
    </row>
    <row r="43" spans="2:6" x14ac:dyDescent="0.25">
      <c r="B43" t="s">
        <v>2826</v>
      </c>
      <c r="D43" t="s">
        <v>2860</v>
      </c>
      <c r="F43" t="s">
        <v>3056</v>
      </c>
    </row>
    <row r="44" spans="2:6" x14ac:dyDescent="0.25">
      <c r="B44" s="4" t="s">
        <v>2827</v>
      </c>
    </row>
    <row r="46" spans="2:6" x14ac:dyDescent="0.25">
      <c r="F46" t="s">
        <v>3051</v>
      </c>
    </row>
    <row r="47" spans="2:6" x14ac:dyDescent="0.25">
      <c r="B47" s="4" t="s">
        <v>2887</v>
      </c>
      <c r="D47" s="4" t="s">
        <v>2886</v>
      </c>
      <c r="F47" t="s">
        <v>3052</v>
      </c>
    </row>
    <row r="48" spans="2:6" x14ac:dyDescent="0.25">
      <c r="B48" s="4" t="s">
        <v>2888</v>
      </c>
      <c r="D48" s="4" t="s">
        <v>2322</v>
      </c>
    </row>
    <row r="49" spans="2:14" x14ac:dyDescent="0.25">
      <c r="B49" t="s">
        <v>2945</v>
      </c>
      <c r="D49" t="s">
        <v>2917</v>
      </c>
    </row>
    <row r="50" spans="2:14" x14ac:dyDescent="0.25">
      <c r="B50" t="s">
        <v>2889</v>
      </c>
      <c r="D50" s="4" t="s">
        <v>2918</v>
      </c>
      <c r="E50" t="s">
        <v>2932</v>
      </c>
    </row>
    <row r="51" spans="2:14" x14ac:dyDescent="0.25">
      <c r="B51" t="s">
        <v>2905</v>
      </c>
      <c r="C51" t="s">
        <v>137</v>
      </c>
      <c r="D51" s="4" t="s">
        <v>1054</v>
      </c>
      <c r="E51" t="s">
        <v>2931</v>
      </c>
    </row>
    <row r="52" spans="2:14" x14ac:dyDescent="0.25">
      <c r="B52" t="s">
        <v>2783</v>
      </c>
      <c r="D52" t="s">
        <v>2830</v>
      </c>
    </row>
    <row r="53" spans="2:14" x14ac:dyDescent="0.25">
      <c r="B53" s="4" t="s">
        <v>2906</v>
      </c>
      <c r="D53" s="4" t="s">
        <v>2919</v>
      </c>
      <c r="F53" s="1" t="s">
        <v>577</v>
      </c>
      <c r="G53" t="s">
        <v>3125</v>
      </c>
    </row>
    <row r="54" spans="2:14" x14ac:dyDescent="0.25">
      <c r="B54" s="4" t="s">
        <v>2907</v>
      </c>
      <c r="D54" s="4" t="s">
        <v>2920</v>
      </c>
      <c r="E54" t="s">
        <v>1907</v>
      </c>
      <c r="F54" s="1" t="s">
        <v>2234</v>
      </c>
      <c r="G54" s="1" t="s">
        <v>2146</v>
      </c>
    </row>
    <row r="55" spans="2:14" x14ac:dyDescent="0.25">
      <c r="B55" s="4" t="s">
        <v>2890</v>
      </c>
      <c r="C55" t="s">
        <v>2850</v>
      </c>
      <c r="D55" t="s">
        <v>2829</v>
      </c>
      <c r="F55" t="s">
        <v>3126</v>
      </c>
      <c r="G55" t="s">
        <v>660</v>
      </c>
    </row>
    <row r="56" spans="2:14" x14ac:dyDescent="0.25">
      <c r="B56" s="4" t="s">
        <v>2163</v>
      </c>
      <c r="D56" t="s">
        <v>2891</v>
      </c>
      <c r="G56" t="s">
        <v>3126</v>
      </c>
    </row>
    <row r="57" spans="2:14" x14ac:dyDescent="0.25">
      <c r="B57" s="4" t="s">
        <v>2800</v>
      </c>
      <c r="C57" t="s">
        <v>2538</v>
      </c>
      <c r="D57" s="4" t="s">
        <v>2921</v>
      </c>
      <c r="H57" t="s">
        <v>2790</v>
      </c>
      <c r="I57" t="s">
        <v>2789</v>
      </c>
    </row>
    <row r="58" spans="2:14" x14ac:dyDescent="0.25">
      <c r="B58" t="s">
        <v>2891</v>
      </c>
      <c r="D58" t="s">
        <v>2355</v>
      </c>
      <c r="F58" t="s">
        <v>576</v>
      </c>
      <c r="G58">
        <v>1</v>
      </c>
      <c r="H58">
        <v>1.5</v>
      </c>
      <c r="I58">
        <v>1</v>
      </c>
    </row>
    <row r="59" spans="2:14" x14ac:dyDescent="0.25">
      <c r="B59" t="s">
        <v>2423</v>
      </c>
      <c r="D59" s="4" t="s">
        <v>2922</v>
      </c>
      <c r="F59" t="s">
        <v>2233</v>
      </c>
      <c r="G59">
        <v>2</v>
      </c>
      <c r="H59">
        <v>1.5</v>
      </c>
      <c r="I59">
        <v>1</v>
      </c>
    </row>
    <row r="60" spans="2:14" x14ac:dyDescent="0.25">
      <c r="B60" t="s">
        <v>2892</v>
      </c>
      <c r="D60" s="4" t="s">
        <v>2750</v>
      </c>
      <c r="F60" t="s">
        <v>659</v>
      </c>
      <c r="G60">
        <v>3</v>
      </c>
      <c r="H60">
        <v>1.5</v>
      </c>
      <c r="I60">
        <v>1</v>
      </c>
    </row>
    <row r="61" spans="2:14" x14ac:dyDescent="0.25">
      <c r="B61" s="4" t="s">
        <v>2908</v>
      </c>
      <c r="D61" s="4" t="s">
        <v>2796</v>
      </c>
      <c r="F61" s="1" t="s">
        <v>3127</v>
      </c>
      <c r="G61">
        <v>4</v>
      </c>
      <c r="H61">
        <v>1.5</v>
      </c>
      <c r="I61">
        <v>1</v>
      </c>
    </row>
    <row r="62" spans="2:14" x14ac:dyDescent="0.25">
      <c r="B62" t="s">
        <v>2463</v>
      </c>
      <c r="C62" t="s">
        <v>2235</v>
      </c>
      <c r="D62" t="s">
        <v>1946</v>
      </c>
      <c r="G62">
        <v>5</v>
      </c>
      <c r="H62">
        <v>1.5</v>
      </c>
      <c r="I62">
        <v>1</v>
      </c>
    </row>
    <row r="63" spans="2:14" x14ac:dyDescent="0.25">
      <c r="B63" t="s">
        <v>2423</v>
      </c>
      <c r="C63" t="s">
        <v>2235</v>
      </c>
      <c r="D63" s="4" t="s">
        <v>2836</v>
      </c>
      <c r="G63">
        <v>6</v>
      </c>
      <c r="H63">
        <v>1.5</v>
      </c>
      <c r="I63">
        <v>2</v>
      </c>
    </row>
    <row r="64" spans="2:14" x14ac:dyDescent="0.25">
      <c r="B64" t="s">
        <v>2892</v>
      </c>
      <c r="C64" t="s">
        <v>2235</v>
      </c>
      <c r="D64" t="s">
        <v>2152</v>
      </c>
      <c r="G64">
        <v>7</v>
      </c>
      <c r="H64">
        <v>2</v>
      </c>
      <c r="I64">
        <v>2</v>
      </c>
      <c r="M64" s="1"/>
      <c r="N64" s="4" t="s">
        <v>3167</v>
      </c>
    </row>
    <row r="65" spans="1:14" x14ac:dyDescent="0.25">
      <c r="B65" s="4" t="s">
        <v>2803</v>
      </c>
      <c r="D65" s="4" t="s">
        <v>2923</v>
      </c>
      <c r="F65" t="s">
        <v>3155</v>
      </c>
      <c r="G65">
        <v>8</v>
      </c>
      <c r="H65">
        <v>2</v>
      </c>
      <c r="I65">
        <v>2</v>
      </c>
      <c r="M65" s="1"/>
      <c r="N65" s="1" t="s">
        <v>3168</v>
      </c>
    </row>
    <row r="66" spans="1:14" x14ac:dyDescent="0.25">
      <c r="A66" s="1">
        <v>1</v>
      </c>
      <c r="B66" s="4" t="s">
        <v>2815</v>
      </c>
      <c r="D66" t="s">
        <v>2924</v>
      </c>
      <c r="F66" t="s">
        <v>3156</v>
      </c>
      <c r="G66">
        <v>9</v>
      </c>
      <c r="H66">
        <v>2.5</v>
      </c>
      <c r="I66">
        <v>2</v>
      </c>
      <c r="M66" s="1"/>
      <c r="N66" s="4" t="s">
        <v>3169</v>
      </c>
    </row>
    <row r="67" spans="1:14" x14ac:dyDescent="0.25">
      <c r="B67" s="4" t="s">
        <v>2161</v>
      </c>
      <c r="C67" t="s">
        <v>2897</v>
      </c>
      <c r="D67" s="4" t="s">
        <v>2925</v>
      </c>
      <c r="F67" t="s">
        <v>3157</v>
      </c>
      <c r="G67">
        <v>10</v>
      </c>
      <c r="H67">
        <v>2.5</v>
      </c>
      <c r="I67">
        <v>2</v>
      </c>
      <c r="M67" s="1"/>
      <c r="N67" s="1" t="s">
        <v>3170</v>
      </c>
    </row>
    <row r="68" spans="1:14" x14ac:dyDescent="0.25">
      <c r="B68" s="4" t="s">
        <v>1053</v>
      </c>
      <c r="D68" s="4" t="s">
        <v>2926</v>
      </c>
      <c r="F68" t="s">
        <v>3159</v>
      </c>
      <c r="G68">
        <v>11</v>
      </c>
      <c r="H68">
        <v>2.5</v>
      </c>
      <c r="I68">
        <v>3</v>
      </c>
      <c r="M68" s="1"/>
      <c r="N68" s="1" t="s">
        <v>3171</v>
      </c>
    </row>
    <row r="69" spans="1:14" x14ac:dyDescent="0.25">
      <c r="B69" s="4" t="s">
        <v>2893</v>
      </c>
      <c r="C69" t="s">
        <v>2850</v>
      </c>
      <c r="D69" s="4" t="s">
        <v>2041</v>
      </c>
      <c r="F69" t="s">
        <v>3160</v>
      </c>
      <c r="G69">
        <v>12</v>
      </c>
      <c r="H69">
        <v>2.5</v>
      </c>
      <c r="I69">
        <v>3</v>
      </c>
      <c r="M69" s="1"/>
      <c r="N69" s="1" t="s">
        <v>3172</v>
      </c>
    </row>
    <row r="70" spans="1:14" x14ac:dyDescent="0.25">
      <c r="B70" t="s">
        <v>2894</v>
      </c>
      <c r="D70" s="4" t="s">
        <v>2933</v>
      </c>
      <c r="F70" t="s">
        <v>3161</v>
      </c>
      <c r="G70">
        <v>13</v>
      </c>
      <c r="H70">
        <v>3</v>
      </c>
      <c r="I70">
        <v>3</v>
      </c>
      <c r="M70" s="1"/>
      <c r="N70" s="4" t="s">
        <v>3173</v>
      </c>
    </row>
    <row r="71" spans="1:14" x14ac:dyDescent="0.25">
      <c r="B71" t="s">
        <v>2822</v>
      </c>
      <c r="D71" s="4" t="s">
        <v>2934</v>
      </c>
      <c r="F71" t="s">
        <v>3162</v>
      </c>
      <c r="G71">
        <v>14</v>
      </c>
      <c r="H71">
        <v>3</v>
      </c>
      <c r="I71">
        <v>3</v>
      </c>
      <c r="M71" s="1"/>
      <c r="N71" s="1" t="s">
        <v>3174</v>
      </c>
    </row>
    <row r="72" spans="1:14" x14ac:dyDescent="0.25">
      <c r="B72" s="4" t="s">
        <v>2813</v>
      </c>
      <c r="D72" t="s">
        <v>2459</v>
      </c>
      <c r="F72" t="s">
        <v>3163</v>
      </c>
      <c r="G72">
        <v>15</v>
      </c>
      <c r="H72">
        <v>3</v>
      </c>
      <c r="I72">
        <v>3</v>
      </c>
      <c r="M72" s="1"/>
      <c r="N72" s="1" t="s">
        <v>3175</v>
      </c>
    </row>
    <row r="73" spans="1:14" x14ac:dyDescent="0.25">
      <c r="B73" t="s">
        <v>2909</v>
      </c>
      <c r="D73" s="4" t="s">
        <v>2937</v>
      </c>
      <c r="F73" t="s">
        <v>3164</v>
      </c>
      <c r="G73">
        <v>16</v>
      </c>
      <c r="H73">
        <v>3</v>
      </c>
      <c r="I73">
        <v>4</v>
      </c>
      <c r="M73" s="1"/>
      <c r="N73" s="1" t="s">
        <v>3176</v>
      </c>
    </row>
    <row r="74" spans="1:14" x14ac:dyDescent="0.25">
      <c r="B74" t="s">
        <v>2910</v>
      </c>
      <c r="D74" t="s">
        <v>2855</v>
      </c>
      <c r="M74" s="1"/>
      <c r="N74" s="1" t="s">
        <v>3177</v>
      </c>
    </row>
    <row r="75" spans="1:14" x14ac:dyDescent="0.25">
      <c r="A75">
        <v>1</v>
      </c>
      <c r="B75" s="4" t="s">
        <v>2812</v>
      </c>
      <c r="D75" t="s">
        <v>2856</v>
      </c>
      <c r="E75" s="1" t="s">
        <v>1546</v>
      </c>
      <c r="F75" s="1" t="s">
        <v>1807</v>
      </c>
      <c r="G75" s="1" t="s">
        <v>617</v>
      </c>
      <c r="H75" s="1" t="s">
        <v>618</v>
      </c>
      <c r="I75" s="1" t="s">
        <v>1807</v>
      </c>
      <c r="J75" s="1" t="s">
        <v>617</v>
      </c>
      <c r="K75" s="1" t="s">
        <v>618</v>
      </c>
      <c r="M75" s="1"/>
      <c r="N75" s="1" t="s">
        <v>3178</v>
      </c>
    </row>
    <row r="76" spans="1:14" x14ac:dyDescent="0.25">
      <c r="B76" s="4" t="s">
        <v>1903</v>
      </c>
      <c r="C76" t="s">
        <v>2896</v>
      </c>
      <c r="D76" s="4" t="s">
        <v>968</v>
      </c>
      <c r="E76" s="1">
        <v>1</v>
      </c>
      <c r="F76" t="s">
        <v>3166</v>
      </c>
      <c r="G76" t="s">
        <v>3237</v>
      </c>
      <c r="H76" t="s">
        <v>3165</v>
      </c>
      <c r="I76" s="1">
        <v>1</v>
      </c>
      <c r="J76" s="1">
        <v>1</v>
      </c>
      <c r="K76" s="1">
        <v>1</v>
      </c>
      <c r="M76" s="1"/>
      <c r="N76" s="4" t="s">
        <v>3179</v>
      </c>
    </row>
    <row r="77" spans="1:14" x14ac:dyDescent="0.25">
      <c r="B77" s="4" t="s">
        <v>2819</v>
      </c>
      <c r="C77" t="s">
        <v>2895</v>
      </c>
      <c r="D77" t="s">
        <v>2857</v>
      </c>
      <c r="E77" s="1">
        <v>2</v>
      </c>
      <c r="F77" s="1"/>
      <c r="G77" s="1"/>
      <c r="H77" s="1"/>
      <c r="I77" s="1"/>
      <c r="J77" s="1"/>
      <c r="K77" s="1"/>
      <c r="M77" s="1"/>
      <c r="N77" s="1" t="s">
        <v>3180</v>
      </c>
    </row>
    <row r="78" spans="1:14" x14ac:dyDescent="0.25">
      <c r="B78" t="s">
        <v>2820</v>
      </c>
      <c r="C78" t="s">
        <v>2898</v>
      </c>
      <c r="D78" t="s">
        <v>2858</v>
      </c>
      <c r="E78" s="1">
        <v>3</v>
      </c>
      <c r="F78" s="1" t="s">
        <v>3237</v>
      </c>
      <c r="G78" t="s">
        <v>3239</v>
      </c>
      <c r="H78" s="1" t="s">
        <v>3237</v>
      </c>
      <c r="I78" s="1">
        <v>1</v>
      </c>
      <c r="J78" s="1">
        <v>1</v>
      </c>
      <c r="K78" s="1">
        <v>1</v>
      </c>
      <c r="M78" s="1"/>
      <c r="N78" s="1" t="s">
        <v>3181</v>
      </c>
    </row>
    <row r="79" spans="1:14" x14ac:dyDescent="0.25">
      <c r="B79" t="s">
        <v>2899</v>
      </c>
      <c r="D79" s="4" t="s">
        <v>2938</v>
      </c>
      <c r="E79" s="1">
        <v>4</v>
      </c>
      <c r="H79" s="1"/>
      <c r="I79" s="1"/>
      <c r="J79" s="1"/>
      <c r="K79" s="1"/>
      <c r="M79" s="1"/>
      <c r="N79" s="1" t="s">
        <v>3182</v>
      </c>
    </row>
    <row r="80" spans="1:14" x14ac:dyDescent="0.25">
      <c r="B80" t="s">
        <v>2900</v>
      </c>
      <c r="D80" s="4" t="s">
        <v>2860</v>
      </c>
      <c r="E80" s="1">
        <v>5</v>
      </c>
      <c r="G80" s="1"/>
      <c r="H80" s="1"/>
      <c r="I80" s="1"/>
      <c r="J80" s="1"/>
      <c r="K80" s="1"/>
      <c r="M80" s="1"/>
      <c r="N80" s="4" t="s">
        <v>3183</v>
      </c>
    </row>
    <row r="81" spans="1:16" x14ac:dyDescent="0.25">
      <c r="B81" s="4" t="s">
        <v>2901</v>
      </c>
      <c r="C81" t="s">
        <v>2902</v>
      </c>
      <c r="D81" s="4" t="s">
        <v>2939</v>
      </c>
      <c r="E81" s="1">
        <v>6</v>
      </c>
      <c r="F81" t="s">
        <v>2968</v>
      </c>
      <c r="G81" s="1" t="s">
        <v>3239</v>
      </c>
      <c r="H81" t="s">
        <v>3234</v>
      </c>
      <c r="I81" s="1">
        <v>1</v>
      </c>
      <c r="J81" s="1">
        <v>1</v>
      </c>
      <c r="K81" s="1">
        <v>1</v>
      </c>
      <c r="M81" s="1"/>
      <c r="N81" s="1" t="s">
        <v>3184</v>
      </c>
    </row>
    <row r="82" spans="1:16" x14ac:dyDescent="0.25">
      <c r="B82" s="4" t="s">
        <v>2217</v>
      </c>
      <c r="D82" s="4" t="s">
        <v>2859</v>
      </c>
      <c r="E82" s="1">
        <v>7</v>
      </c>
      <c r="F82" s="1"/>
      <c r="H82" s="1"/>
      <c r="I82" s="1"/>
      <c r="J82" s="1"/>
      <c r="K82" s="1"/>
      <c r="M82" s="1"/>
      <c r="N82" s="1" t="s">
        <v>3185</v>
      </c>
    </row>
    <row r="83" spans="1:16" x14ac:dyDescent="0.25">
      <c r="B83" t="s">
        <v>2903</v>
      </c>
      <c r="D83" s="4" t="s">
        <v>2827</v>
      </c>
      <c r="E83" s="1">
        <v>8</v>
      </c>
      <c r="F83" s="1"/>
      <c r="H83" s="1"/>
      <c r="I83" s="1"/>
      <c r="J83" s="1"/>
      <c r="K83" s="1"/>
      <c r="M83" s="1"/>
      <c r="N83" s="4" t="s">
        <v>3186</v>
      </c>
    </row>
    <row r="84" spans="1:16" x14ac:dyDescent="0.25">
      <c r="A84">
        <v>1</v>
      </c>
      <c r="B84" s="4" t="s">
        <v>2904</v>
      </c>
      <c r="D84" t="s">
        <v>2488</v>
      </c>
      <c r="E84" s="1">
        <v>9</v>
      </c>
      <c r="F84" t="s">
        <v>3240</v>
      </c>
      <c r="G84" t="s">
        <v>2967</v>
      </c>
      <c r="H84" t="s">
        <v>3236</v>
      </c>
      <c r="I84" s="1">
        <v>1</v>
      </c>
      <c r="J84" s="1">
        <v>1</v>
      </c>
      <c r="K84" s="1">
        <v>1</v>
      </c>
      <c r="M84" s="1"/>
      <c r="N84" s="1" t="s">
        <v>3187</v>
      </c>
    </row>
    <row r="85" spans="1:16" x14ac:dyDescent="0.25">
      <c r="B85" t="s">
        <v>2911</v>
      </c>
      <c r="D85" s="4" t="s">
        <v>2940</v>
      </c>
      <c r="E85" s="1">
        <v>10</v>
      </c>
      <c r="G85" s="1"/>
      <c r="H85" s="1"/>
      <c r="I85" s="1"/>
      <c r="J85" s="1"/>
      <c r="K85" s="1"/>
      <c r="M85" s="1"/>
      <c r="N85" s="1" t="s">
        <v>3188</v>
      </c>
    </row>
    <row r="86" spans="1:16" x14ac:dyDescent="0.25">
      <c r="B86" t="s">
        <v>2912</v>
      </c>
      <c r="D86" s="4" t="s">
        <v>2941</v>
      </c>
      <c r="E86" s="1">
        <v>11</v>
      </c>
      <c r="G86" s="1"/>
      <c r="H86" s="1"/>
      <c r="I86" s="1"/>
      <c r="J86" s="1"/>
      <c r="K86" s="1"/>
      <c r="M86" s="1"/>
      <c r="N86" s="1" t="s">
        <v>3189</v>
      </c>
    </row>
    <row r="87" spans="1:16" x14ac:dyDescent="0.25">
      <c r="B87" s="4" t="s">
        <v>2913</v>
      </c>
      <c r="E87" s="1">
        <v>12</v>
      </c>
      <c r="F87" t="s">
        <v>3240</v>
      </c>
      <c r="G87" t="s">
        <v>2968</v>
      </c>
      <c r="H87" t="s">
        <v>3235</v>
      </c>
      <c r="I87" s="1">
        <v>1</v>
      </c>
      <c r="J87" s="1">
        <v>1</v>
      </c>
      <c r="K87" s="1">
        <v>1</v>
      </c>
      <c r="M87" s="1"/>
      <c r="N87" s="1" t="s">
        <v>3190</v>
      </c>
    </row>
    <row r="88" spans="1:16" x14ac:dyDescent="0.25">
      <c r="A88">
        <v>1</v>
      </c>
      <c r="B88" s="4" t="s">
        <v>2914</v>
      </c>
      <c r="E88" s="1">
        <v>13</v>
      </c>
      <c r="G88" s="1"/>
      <c r="H88" s="1"/>
      <c r="I88" s="1"/>
      <c r="J88" s="1"/>
      <c r="K88" s="1"/>
      <c r="M88" s="1"/>
      <c r="N88" s="1" t="s">
        <v>3191</v>
      </c>
    </row>
    <row r="89" spans="1:16" x14ac:dyDescent="0.25">
      <c r="B89" s="4" t="s">
        <v>2915</v>
      </c>
      <c r="E89" s="1">
        <v>14</v>
      </c>
      <c r="F89" s="1"/>
      <c r="G89" s="1"/>
      <c r="H89" s="1"/>
      <c r="I89" s="1"/>
      <c r="J89" s="1"/>
      <c r="K89" s="1"/>
      <c r="M89" s="1"/>
      <c r="N89" s="4" t="s">
        <v>3192</v>
      </c>
    </row>
    <row r="90" spans="1:16" x14ac:dyDescent="0.25">
      <c r="B90" s="4" t="s">
        <v>2916</v>
      </c>
      <c r="E90" s="1">
        <v>15</v>
      </c>
      <c r="F90" t="s">
        <v>3240</v>
      </c>
      <c r="G90" t="s">
        <v>3252</v>
      </c>
      <c r="H90" t="s">
        <v>2968</v>
      </c>
      <c r="I90" s="1">
        <v>1</v>
      </c>
      <c r="J90" s="1">
        <v>1</v>
      </c>
      <c r="K90" s="1">
        <v>1</v>
      </c>
      <c r="M90" s="1"/>
      <c r="N90" s="1" t="s">
        <v>3193</v>
      </c>
      <c r="P90" t="s">
        <v>3000</v>
      </c>
    </row>
    <row r="91" spans="1:16" x14ac:dyDescent="0.25">
      <c r="E91" s="1">
        <v>16</v>
      </c>
      <c r="F91" s="1"/>
      <c r="G91" s="1"/>
      <c r="H91" s="1"/>
      <c r="I91" s="1"/>
      <c r="J91" s="1"/>
      <c r="K91" s="1"/>
      <c r="M91" s="1"/>
      <c r="N91" s="1" t="s">
        <v>3194</v>
      </c>
      <c r="P91" t="s">
        <v>3241</v>
      </c>
    </row>
    <row r="92" spans="1:16" x14ac:dyDescent="0.25">
      <c r="E92" s="1">
        <v>17</v>
      </c>
      <c r="F92" s="1"/>
      <c r="G92" s="1"/>
      <c r="H92" s="1"/>
      <c r="I92" s="1"/>
      <c r="J92" s="1"/>
      <c r="K92" s="1"/>
      <c r="M92" s="1"/>
      <c r="N92" s="1" t="s">
        <v>3195</v>
      </c>
      <c r="P92" t="s">
        <v>3242</v>
      </c>
    </row>
    <row r="93" spans="1:16" x14ac:dyDescent="0.25">
      <c r="E93" s="1">
        <v>18</v>
      </c>
      <c r="F93" t="s">
        <v>3238</v>
      </c>
      <c r="G93" s="1"/>
      <c r="H93" t="s">
        <v>3238</v>
      </c>
      <c r="I93" s="1">
        <v>1</v>
      </c>
      <c r="J93" s="1">
        <v>1</v>
      </c>
      <c r="K93" s="1">
        <v>1</v>
      </c>
      <c r="M93" s="1"/>
      <c r="N93" s="1" t="s">
        <v>3196</v>
      </c>
      <c r="P93" t="s">
        <v>3243</v>
      </c>
    </row>
    <row r="94" spans="1:16" x14ac:dyDescent="0.25">
      <c r="C94">
        <f>3.5*5</f>
        <v>17.5</v>
      </c>
      <c r="E94" s="1">
        <v>19</v>
      </c>
      <c r="F94" s="1"/>
      <c r="G94" s="1"/>
      <c r="H94" s="1"/>
      <c r="I94" s="1"/>
      <c r="J94" s="1"/>
      <c r="K94" s="1"/>
      <c r="M94" s="1"/>
      <c r="N94" s="1" t="s">
        <v>3197</v>
      </c>
      <c r="P94" t="s">
        <v>3244</v>
      </c>
    </row>
    <row r="95" spans="1:16" x14ac:dyDescent="0.25">
      <c r="C95">
        <f>5*2.5</f>
        <v>12.5</v>
      </c>
      <c r="E95" s="1">
        <v>20</v>
      </c>
      <c r="F95" s="1"/>
      <c r="G95" s="1"/>
      <c r="H95" s="1"/>
      <c r="I95" s="1"/>
      <c r="J95" s="1"/>
      <c r="K95" s="1"/>
      <c r="M95" s="1"/>
      <c r="N95" s="4" t="s">
        <v>2953</v>
      </c>
      <c r="P95" t="s">
        <v>3245</v>
      </c>
    </row>
    <row r="96" spans="1:16" x14ac:dyDescent="0.25">
      <c r="B96" s="4" t="s">
        <v>2887</v>
      </c>
      <c r="D96" s="4" t="s">
        <v>2886</v>
      </c>
      <c r="E96" s="1">
        <v>21</v>
      </c>
      <c r="F96" t="s">
        <v>3238</v>
      </c>
      <c r="G96" s="1"/>
      <c r="H96" s="1"/>
      <c r="I96" s="1">
        <v>1</v>
      </c>
      <c r="J96" s="1">
        <v>1</v>
      </c>
      <c r="K96" s="1">
        <v>1</v>
      </c>
      <c r="M96" s="1"/>
      <c r="N96" s="1" t="s">
        <v>3198</v>
      </c>
      <c r="P96" t="s">
        <v>836</v>
      </c>
    </row>
    <row r="97" spans="2:16" x14ac:dyDescent="0.25">
      <c r="B97" s="4" t="s">
        <v>2888</v>
      </c>
      <c r="D97" s="4" t="s">
        <v>2322</v>
      </c>
      <c r="G97" t="s">
        <v>617</v>
      </c>
      <c r="H97" t="s">
        <v>618</v>
      </c>
      <c r="I97" t="s">
        <v>1807</v>
      </c>
      <c r="M97" s="1"/>
      <c r="N97" s="4" t="s">
        <v>3199</v>
      </c>
      <c r="P97" t="s">
        <v>3246</v>
      </c>
    </row>
    <row r="98" spans="2:16" x14ac:dyDescent="0.25">
      <c r="B98" s="4" t="s">
        <v>2799</v>
      </c>
      <c r="D98" t="s">
        <v>2917</v>
      </c>
      <c r="G98">
        <v>12</v>
      </c>
      <c r="H98">
        <v>10</v>
      </c>
      <c r="I98">
        <v>8</v>
      </c>
      <c r="M98" s="1"/>
      <c r="N98" s="4" t="s">
        <v>3200</v>
      </c>
      <c r="P98" t="s">
        <v>3124</v>
      </c>
    </row>
    <row r="99" spans="2:16" x14ac:dyDescent="0.25">
      <c r="B99" t="s">
        <v>2905</v>
      </c>
      <c r="C99" t="s">
        <v>137</v>
      </c>
      <c r="D99" t="s">
        <v>2918</v>
      </c>
      <c r="E99" t="s">
        <v>2932</v>
      </c>
      <c r="G99">
        <v>18</v>
      </c>
      <c r="H99">
        <v>14</v>
      </c>
      <c r="I99">
        <v>18</v>
      </c>
      <c r="M99" s="1"/>
      <c r="N99" s="1" t="s">
        <v>2950</v>
      </c>
      <c r="P99" t="s">
        <v>3247</v>
      </c>
    </row>
    <row r="100" spans="2:16" x14ac:dyDescent="0.25">
      <c r="B100" t="s">
        <v>2906</v>
      </c>
      <c r="D100" t="s">
        <v>1054</v>
      </c>
      <c r="E100" t="s">
        <v>2931</v>
      </c>
      <c r="G100">
        <v>10</v>
      </c>
      <c r="H100">
        <v>18</v>
      </c>
      <c r="I100">
        <v>14</v>
      </c>
      <c r="M100" s="1"/>
      <c r="N100" s="4" t="s">
        <v>2957</v>
      </c>
    </row>
    <row r="101" spans="2:16" x14ac:dyDescent="0.25">
      <c r="B101" t="s">
        <v>2907</v>
      </c>
      <c r="D101" t="s">
        <v>2830</v>
      </c>
      <c r="G101">
        <v>8</v>
      </c>
      <c r="H101">
        <v>8</v>
      </c>
      <c r="I101">
        <v>8</v>
      </c>
      <c r="M101" s="1"/>
      <c r="N101" s="1" t="s">
        <v>3201</v>
      </c>
    </row>
    <row r="102" spans="2:16" x14ac:dyDescent="0.25">
      <c r="B102" s="4" t="s">
        <v>2890</v>
      </c>
      <c r="C102" t="s">
        <v>2850</v>
      </c>
      <c r="D102" t="s">
        <v>2919</v>
      </c>
      <c r="G102">
        <v>20</v>
      </c>
      <c r="H102">
        <v>18</v>
      </c>
      <c r="I102">
        <v>10</v>
      </c>
      <c r="M102" s="1"/>
      <c r="N102" s="1" t="s">
        <v>3202</v>
      </c>
    </row>
    <row r="103" spans="2:16" x14ac:dyDescent="0.25">
      <c r="B103" s="4" t="s">
        <v>2163</v>
      </c>
      <c r="D103" s="4" t="s">
        <v>2920</v>
      </c>
      <c r="E103" t="s">
        <v>1907</v>
      </c>
      <c r="G103">
        <v>12</v>
      </c>
      <c r="H103">
        <v>8</v>
      </c>
      <c r="I103">
        <v>18</v>
      </c>
      <c r="M103" s="1"/>
      <c r="N103" s="1" t="s">
        <v>3203</v>
      </c>
    </row>
    <row r="104" spans="2:16" x14ac:dyDescent="0.25">
      <c r="B104" t="s">
        <v>2800</v>
      </c>
      <c r="C104" t="s">
        <v>2538</v>
      </c>
      <c r="D104" t="s">
        <v>2829</v>
      </c>
      <c r="G104">
        <f>SUM(G98:G103)</f>
        <v>80</v>
      </c>
      <c r="H104">
        <f>SUM(H98:H103)</f>
        <v>76</v>
      </c>
      <c r="I104">
        <f>SUM(I98:I103)</f>
        <v>76</v>
      </c>
      <c r="M104" s="1"/>
      <c r="N104" s="1" t="s">
        <v>3204</v>
      </c>
    </row>
    <row r="105" spans="2:16" x14ac:dyDescent="0.25">
      <c r="B105" t="s">
        <v>2891</v>
      </c>
      <c r="D105" s="4" t="s">
        <v>2502</v>
      </c>
      <c r="M105" s="1"/>
      <c r="N105" s="1" t="s">
        <v>3205</v>
      </c>
    </row>
    <row r="106" spans="2:16" x14ac:dyDescent="0.25">
      <c r="B106" s="4" t="s">
        <v>2803</v>
      </c>
      <c r="D106" t="s">
        <v>2891</v>
      </c>
      <c r="M106" s="1"/>
      <c r="N106" s="1" t="s">
        <v>3206</v>
      </c>
    </row>
    <row r="107" spans="2:16" x14ac:dyDescent="0.25">
      <c r="B107" t="s">
        <v>2815</v>
      </c>
      <c r="D107" t="s">
        <v>2921</v>
      </c>
      <c r="M107" s="1"/>
      <c r="N107" s="1" t="s">
        <v>3207</v>
      </c>
    </row>
    <row r="108" spans="2:16" x14ac:dyDescent="0.25">
      <c r="B108" t="s">
        <v>2161</v>
      </c>
      <c r="C108" t="s">
        <v>2897</v>
      </c>
      <c r="D108" t="s">
        <v>2355</v>
      </c>
      <c r="E108" t="s">
        <v>2930</v>
      </c>
      <c r="M108" s="1"/>
      <c r="N108" s="1" t="s">
        <v>3208</v>
      </c>
    </row>
    <row r="109" spans="2:16" x14ac:dyDescent="0.25">
      <c r="B109" s="4" t="s">
        <v>1053</v>
      </c>
      <c r="D109" t="s">
        <v>2922</v>
      </c>
      <c r="E109" t="s">
        <v>2929</v>
      </c>
      <c r="G109" t="s">
        <v>2027</v>
      </c>
      <c r="H109">
        <v>-2</v>
      </c>
      <c r="I109">
        <v>-2</v>
      </c>
      <c r="J109">
        <v>-4</v>
      </c>
      <c r="K109">
        <v>-4</v>
      </c>
      <c r="M109" s="1"/>
      <c r="N109" s="1" t="s">
        <v>3209</v>
      </c>
    </row>
    <row r="110" spans="2:16" x14ac:dyDescent="0.25">
      <c r="B110" t="s">
        <v>2893</v>
      </c>
      <c r="C110" t="s">
        <v>2850</v>
      </c>
      <c r="D110" t="s">
        <v>2750</v>
      </c>
      <c r="E110" t="s">
        <v>2928</v>
      </c>
      <c r="G110" t="s">
        <v>2803</v>
      </c>
      <c r="H110">
        <v>-1</v>
      </c>
      <c r="I110">
        <v>-1</v>
      </c>
      <c r="J110">
        <v>-1</v>
      </c>
      <c r="K110">
        <v>-1</v>
      </c>
      <c r="M110" s="1"/>
      <c r="N110" s="4" t="s">
        <v>3210</v>
      </c>
    </row>
    <row r="111" spans="2:16" x14ac:dyDescent="0.25">
      <c r="B111" t="s">
        <v>2894</v>
      </c>
      <c r="D111" s="4" t="s">
        <v>2796</v>
      </c>
      <c r="G111" t="s">
        <v>2813</v>
      </c>
      <c r="H111">
        <v>-2</v>
      </c>
      <c r="I111">
        <v>-2</v>
      </c>
      <c r="J111">
        <v>-2</v>
      </c>
      <c r="K111">
        <v>-2</v>
      </c>
      <c r="M111" s="1"/>
      <c r="N111" s="1" t="s">
        <v>3211</v>
      </c>
    </row>
    <row r="112" spans="2:16" x14ac:dyDescent="0.25">
      <c r="B112" s="4" t="s">
        <v>2813</v>
      </c>
      <c r="D112" t="s">
        <v>1946</v>
      </c>
      <c r="E112" t="s">
        <v>2942</v>
      </c>
      <c r="G112" t="s">
        <v>1949</v>
      </c>
      <c r="H112">
        <v>-2</v>
      </c>
      <c r="J112">
        <v>-2</v>
      </c>
      <c r="M112" s="1"/>
      <c r="N112" s="4" t="s">
        <v>2951</v>
      </c>
    </row>
    <row r="113" spans="2:14" x14ac:dyDescent="0.25">
      <c r="B113" t="s">
        <v>2910</v>
      </c>
      <c r="D113" s="4" t="s">
        <v>2836</v>
      </c>
      <c r="G113" t="s">
        <v>2943</v>
      </c>
      <c r="H113">
        <v>-2</v>
      </c>
      <c r="M113" s="1"/>
      <c r="N113" s="1" t="s">
        <v>3212</v>
      </c>
    </row>
    <row r="114" spans="2:14" x14ac:dyDescent="0.25">
      <c r="B114" t="s">
        <v>2812</v>
      </c>
      <c r="D114" t="s">
        <v>2152</v>
      </c>
      <c r="G114" t="s">
        <v>2945</v>
      </c>
      <c r="H114">
        <v>-1</v>
      </c>
      <c r="I114">
        <v>-1</v>
      </c>
      <c r="M114" s="1"/>
      <c r="N114" s="4" t="s">
        <v>3213</v>
      </c>
    </row>
    <row r="115" spans="2:14" x14ac:dyDescent="0.25">
      <c r="B115" s="4" t="s">
        <v>1903</v>
      </c>
      <c r="C115" t="s">
        <v>2896</v>
      </c>
      <c r="D115" s="4" t="s">
        <v>2923</v>
      </c>
      <c r="G115" t="s">
        <v>2961</v>
      </c>
      <c r="H115">
        <v>-4</v>
      </c>
      <c r="I115">
        <v>-2</v>
      </c>
      <c r="M115" s="1"/>
      <c r="N115" s="1" t="s">
        <v>3214</v>
      </c>
    </row>
    <row r="116" spans="2:14" x14ac:dyDescent="0.25">
      <c r="B116" s="4" t="s">
        <v>2819</v>
      </c>
      <c r="C116" t="s">
        <v>2895</v>
      </c>
      <c r="D116" t="s">
        <v>2924</v>
      </c>
      <c r="G116" s="4" t="s">
        <v>2944</v>
      </c>
      <c r="H116">
        <v>-4</v>
      </c>
      <c r="I116">
        <v>-4</v>
      </c>
      <c r="J116">
        <v>-4</v>
      </c>
      <c r="K116">
        <v>-4</v>
      </c>
      <c r="M116" s="1"/>
      <c r="N116" s="1" t="s">
        <v>3215</v>
      </c>
    </row>
    <row r="117" spans="2:14" x14ac:dyDescent="0.25">
      <c r="B117" t="s">
        <v>2900</v>
      </c>
      <c r="D117" t="s">
        <v>2925</v>
      </c>
      <c r="E117" t="s">
        <v>2902</v>
      </c>
      <c r="G117" t="s">
        <v>2611</v>
      </c>
      <c r="J117">
        <v>-2</v>
      </c>
      <c r="M117" s="1"/>
      <c r="N117" s="1" t="s">
        <v>3216</v>
      </c>
    </row>
    <row r="118" spans="2:14" x14ac:dyDescent="0.25">
      <c r="B118" s="4" t="s">
        <v>2901</v>
      </c>
      <c r="C118" t="s">
        <v>2902</v>
      </c>
      <c r="D118" t="s">
        <v>2926</v>
      </c>
      <c r="E118" t="s">
        <v>2850</v>
      </c>
      <c r="G118" t="s">
        <v>2610</v>
      </c>
      <c r="M118" s="1"/>
      <c r="N118" s="1" t="s">
        <v>3217</v>
      </c>
    </row>
    <row r="119" spans="2:14" x14ac:dyDescent="0.25">
      <c r="B119" s="4" t="s">
        <v>2217</v>
      </c>
      <c r="D119" t="s">
        <v>2041</v>
      </c>
      <c r="E119" t="s">
        <v>2927</v>
      </c>
      <c r="G119" t="s">
        <v>1814</v>
      </c>
      <c r="M119" s="1"/>
      <c r="N119" s="1" t="s">
        <v>3218</v>
      </c>
    </row>
    <row r="120" spans="2:14" x14ac:dyDescent="0.25">
      <c r="B120" t="s">
        <v>2903</v>
      </c>
      <c r="D120" t="s">
        <v>2933</v>
      </c>
      <c r="G120" t="s">
        <v>2608</v>
      </c>
      <c r="M120" s="1"/>
      <c r="N120" s="1" t="s">
        <v>3219</v>
      </c>
    </row>
    <row r="121" spans="2:14" x14ac:dyDescent="0.25">
      <c r="B121" t="s">
        <v>2904</v>
      </c>
      <c r="D121" t="s">
        <v>2934</v>
      </c>
      <c r="E121" t="s">
        <v>2935</v>
      </c>
      <c r="H121">
        <f>SUM(H109:H120)</f>
        <v>-18</v>
      </c>
      <c r="I121">
        <f>SUM(I109:I120)</f>
        <v>-12</v>
      </c>
      <c r="J121">
        <f>SUM(J109:J120)</f>
        <v>-15</v>
      </c>
      <c r="K121">
        <f>SUM(K109:K120)</f>
        <v>-11</v>
      </c>
      <c r="M121" s="1"/>
      <c r="N121" s="1" t="s">
        <v>3220</v>
      </c>
    </row>
    <row r="122" spans="2:14" x14ac:dyDescent="0.25">
      <c r="B122" t="s">
        <v>2911</v>
      </c>
      <c r="D122" t="s">
        <v>2459</v>
      </c>
      <c r="E122" t="s">
        <v>2936</v>
      </c>
      <c r="M122" s="1"/>
      <c r="N122" s="1" t="s">
        <v>3221</v>
      </c>
    </row>
    <row r="123" spans="2:14" x14ac:dyDescent="0.25">
      <c r="B123" t="s">
        <v>2912</v>
      </c>
      <c r="D123" t="s">
        <v>2937</v>
      </c>
      <c r="E123" t="s">
        <v>2897</v>
      </c>
      <c r="G123">
        <v>8</v>
      </c>
      <c r="H123" t="s">
        <v>212</v>
      </c>
      <c r="I123">
        <v>0</v>
      </c>
      <c r="J123" t="s">
        <v>212</v>
      </c>
      <c r="M123" s="1"/>
      <c r="N123" s="4" t="s">
        <v>3103</v>
      </c>
    </row>
    <row r="124" spans="2:14" x14ac:dyDescent="0.25">
      <c r="B124" t="s">
        <v>2913</v>
      </c>
      <c r="D124" t="s">
        <v>2855</v>
      </c>
      <c r="G124">
        <v>-2</v>
      </c>
      <c r="H124" t="s">
        <v>3248</v>
      </c>
      <c r="I124">
        <v>-3</v>
      </c>
      <c r="J124" t="s">
        <v>1127</v>
      </c>
      <c r="M124" s="1"/>
      <c r="N124" s="4" t="s">
        <v>3222</v>
      </c>
    </row>
    <row r="125" spans="2:14" x14ac:dyDescent="0.25">
      <c r="B125" t="s">
        <v>2914</v>
      </c>
      <c r="D125" t="s">
        <v>2856</v>
      </c>
      <c r="G125">
        <v>-1</v>
      </c>
      <c r="H125" t="s">
        <v>3249</v>
      </c>
      <c r="I125">
        <v>-3</v>
      </c>
      <c r="J125" t="s">
        <v>830</v>
      </c>
      <c r="M125" s="1"/>
      <c r="N125" s="4" t="s">
        <v>3223</v>
      </c>
    </row>
    <row r="126" spans="2:14" x14ac:dyDescent="0.25">
      <c r="B126" t="s">
        <v>2915</v>
      </c>
      <c r="D126" t="s">
        <v>968</v>
      </c>
      <c r="G126">
        <v>-2</v>
      </c>
      <c r="H126" t="s">
        <v>3250</v>
      </c>
      <c r="I126">
        <v>-1</v>
      </c>
      <c r="J126" t="s">
        <v>1225</v>
      </c>
      <c r="M126" s="1"/>
      <c r="N126" s="4" t="s">
        <v>3104</v>
      </c>
    </row>
    <row r="127" spans="2:14" x14ac:dyDescent="0.25">
      <c r="B127" t="s">
        <v>2916</v>
      </c>
      <c r="D127" t="s">
        <v>2857</v>
      </c>
      <c r="G127">
        <v>-1</v>
      </c>
      <c r="H127" t="s">
        <v>3251</v>
      </c>
      <c r="I127">
        <v>-4</v>
      </c>
      <c r="J127" t="s">
        <v>1241</v>
      </c>
      <c r="M127" s="1"/>
      <c r="N127" s="1" t="s">
        <v>3224</v>
      </c>
    </row>
    <row r="128" spans="2:14" x14ac:dyDescent="0.25">
      <c r="D128" t="s">
        <v>2858</v>
      </c>
      <c r="G128">
        <v>-1</v>
      </c>
      <c r="H128" t="s">
        <v>1225</v>
      </c>
      <c r="I128">
        <v>-2</v>
      </c>
      <c r="J128" t="s">
        <v>3248</v>
      </c>
      <c r="M128" s="1"/>
      <c r="N128" s="4" t="s">
        <v>3225</v>
      </c>
    </row>
    <row r="129" spans="2:14" x14ac:dyDescent="0.25">
      <c r="D129" t="s">
        <v>2938</v>
      </c>
      <c r="I129">
        <v>-1</v>
      </c>
      <c r="J129" t="s">
        <v>3249</v>
      </c>
      <c r="M129" s="1"/>
      <c r="N129" s="1" t="s">
        <v>3226</v>
      </c>
    </row>
    <row r="130" spans="2:14" x14ac:dyDescent="0.25">
      <c r="D130" t="s">
        <v>2860</v>
      </c>
      <c r="G130">
        <f>SUM(G123:G129)</f>
        <v>1</v>
      </c>
      <c r="I130">
        <v>-1</v>
      </c>
      <c r="J130" t="s">
        <v>3251</v>
      </c>
      <c r="M130" s="1"/>
      <c r="N130" s="1" t="s">
        <v>3227</v>
      </c>
    </row>
    <row r="131" spans="2:14" x14ac:dyDescent="0.25">
      <c r="D131" t="s">
        <v>2939</v>
      </c>
      <c r="F131" s="9" t="s">
        <v>2952</v>
      </c>
      <c r="I131">
        <v>-3</v>
      </c>
      <c r="J131" t="s">
        <v>1463</v>
      </c>
      <c r="M131" s="1"/>
      <c r="N131" s="4" t="s">
        <v>3105</v>
      </c>
    </row>
    <row r="132" spans="2:14" x14ac:dyDescent="0.25">
      <c r="D132" t="s">
        <v>2859</v>
      </c>
      <c r="F132" t="s">
        <v>2951</v>
      </c>
      <c r="I132">
        <v>-1</v>
      </c>
      <c r="J132" t="s">
        <v>2967</v>
      </c>
      <c r="M132" s="1"/>
      <c r="N132" s="1" t="s">
        <v>3228</v>
      </c>
    </row>
    <row r="133" spans="2:14" x14ac:dyDescent="0.25">
      <c r="D133" s="4" t="s">
        <v>2827</v>
      </c>
      <c r="F133" t="s">
        <v>2944</v>
      </c>
      <c r="I133">
        <f>SUM(I123:I132)</f>
        <v>-19</v>
      </c>
      <c r="M133" s="1"/>
      <c r="N133" s="1" t="s">
        <v>3229</v>
      </c>
    </row>
    <row r="134" spans="2:14" x14ac:dyDescent="0.25">
      <c r="D134" t="s">
        <v>2488</v>
      </c>
      <c r="F134" t="s">
        <v>2953</v>
      </c>
      <c r="M134" s="1"/>
      <c r="N134" s="1" t="s">
        <v>3230</v>
      </c>
    </row>
    <row r="135" spans="2:14" x14ac:dyDescent="0.25">
      <c r="D135" t="s">
        <v>2940</v>
      </c>
      <c r="F135" t="s">
        <v>2954</v>
      </c>
      <c r="M135" s="1"/>
      <c r="N135" s="4" t="s">
        <v>3231</v>
      </c>
    </row>
    <row r="136" spans="2:14" x14ac:dyDescent="0.25">
      <c r="D136" t="s">
        <v>2941</v>
      </c>
      <c r="F136" t="s">
        <v>2950</v>
      </c>
      <c r="M136" s="1"/>
      <c r="N136" t="s">
        <v>3232</v>
      </c>
    </row>
    <row r="137" spans="2:14" x14ac:dyDescent="0.25">
      <c r="D137" s="9"/>
      <c r="E137" s="9"/>
      <c r="F137" t="s">
        <v>2959</v>
      </c>
      <c r="G137" s="9"/>
      <c r="H137" s="9"/>
      <c r="I137" s="9"/>
      <c r="J137" s="9"/>
      <c r="K137" s="9"/>
      <c r="L137" s="9"/>
      <c r="M137" s="9"/>
      <c r="N137" s="4" t="s">
        <v>3233</v>
      </c>
    </row>
    <row r="138" spans="2:14" x14ac:dyDescent="0.25">
      <c r="E138">
        <f>5*3.5</f>
        <v>17.5</v>
      </c>
      <c r="F138" t="s">
        <v>2955</v>
      </c>
    </row>
    <row r="139" spans="2:14" x14ac:dyDescent="0.25">
      <c r="B139" t="s">
        <v>576</v>
      </c>
      <c r="D139" t="s">
        <v>581</v>
      </c>
      <c r="F139" t="s">
        <v>2948</v>
      </c>
    </row>
    <row r="140" spans="2:14" x14ac:dyDescent="0.25">
      <c r="B140" t="s">
        <v>2946</v>
      </c>
      <c r="D140" t="s">
        <v>2947</v>
      </c>
      <c r="F140" t="s">
        <v>2949</v>
      </c>
    </row>
    <row r="141" spans="2:14" x14ac:dyDescent="0.25">
      <c r="F141" t="s">
        <v>2956</v>
      </c>
    </row>
    <row r="142" spans="2:14" x14ac:dyDescent="0.25">
      <c r="F142" t="s">
        <v>2957</v>
      </c>
    </row>
    <row r="143" spans="2:14" x14ac:dyDescent="0.25">
      <c r="F143" t="s">
        <v>2958</v>
      </c>
      <c r="I143">
        <f>7*(5+25)*3</f>
        <v>630</v>
      </c>
    </row>
    <row r="144" spans="2:14" x14ac:dyDescent="0.25">
      <c r="B144">
        <f>2*(5+10)</f>
        <v>30</v>
      </c>
      <c r="C144" t="s">
        <v>2494</v>
      </c>
      <c r="D144" t="s">
        <v>2965</v>
      </c>
    </row>
    <row r="145" spans="1:11" x14ac:dyDescent="0.25">
      <c r="C145" t="s">
        <v>2491</v>
      </c>
      <c r="D145" t="s">
        <v>2963</v>
      </c>
    </row>
    <row r="146" spans="1:11" x14ac:dyDescent="0.25">
      <c r="C146" t="s">
        <v>2962</v>
      </c>
      <c r="D146" t="s">
        <v>2950</v>
      </c>
    </row>
    <row r="147" spans="1:11" x14ac:dyDescent="0.25">
      <c r="C147" t="s">
        <v>1237</v>
      </c>
    </row>
    <row r="148" spans="1:11" x14ac:dyDescent="0.25">
      <c r="C148" t="s">
        <v>2966</v>
      </c>
      <c r="D148" t="s">
        <v>2964</v>
      </c>
    </row>
    <row r="150" spans="1:11" x14ac:dyDescent="0.25">
      <c r="B150" t="s">
        <v>2219</v>
      </c>
      <c r="C150" t="s">
        <v>2223</v>
      </c>
      <c r="D150" t="s">
        <v>2366</v>
      </c>
      <c r="F150" t="s">
        <v>2220</v>
      </c>
      <c r="G150" t="s">
        <v>2222</v>
      </c>
      <c r="H150" t="s">
        <v>2221</v>
      </c>
      <c r="I150" t="s">
        <v>2222</v>
      </c>
      <c r="J150" t="s">
        <v>2221</v>
      </c>
      <c r="K150" s="1"/>
    </row>
    <row r="151" spans="1:11" x14ac:dyDescent="0.25">
      <c r="A151" t="s">
        <v>155</v>
      </c>
      <c r="B151">
        <v>8</v>
      </c>
      <c r="C151">
        <v>12</v>
      </c>
      <c r="D151">
        <v>10</v>
      </c>
      <c r="F151">
        <v>8</v>
      </c>
      <c r="G151">
        <v>18</v>
      </c>
      <c r="H151">
        <v>20</v>
      </c>
      <c r="I151">
        <v>18</v>
      </c>
      <c r="J151">
        <v>20</v>
      </c>
    </row>
    <row r="152" spans="1:11" x14ac:dyDescent="0.25">
      <c r="A152" t="s">
        <v>1241</v>
      </c>
      <c r="B152">
        <v>18</v>
      </c>
      <c r="C152">
        <v>18</v>
      </c>
      <c r="D152">
        <v>14</v>
      </c>
      <c r="F152">
        <v>20</v>
      </c>
      <c r="G152">
        <v>18</v>
      </c>
      <c r="H152">
        <v>14</v>
      </c>
      <c r="I152">
        <v>18</v>
      </c>
      <c r="J152">
        <v>13</v>
      </c>
    </row>
    <row r="153" spans="1:11" x14ac:dyDescent="0.25">
      <c r="A153" t="s">
        <v>1242</v>
      </c>
      <c r="B153">
        <v>14</v>
      </c>
      <c r="C153">
        <v>10</v>
      </c>
      <c r="D153">
        <v>19</v>
      </c>
      <c r="F153">
        <v>3</v>
      </c>
      <c r="G153">
        <v>18</v>
      </c>
      <c r="H153">
        <v>12</v>
      </c>
      <c r="I153">
        <v>15</v>
      </c>
      <c r="J153">
        <v>12</v>
      </c>
    </row>
    <row r="154" spans="1:11" x14ac:dyDescent="0.25">
      <c r="A154" t="s">
        <v>1243</v>
      </c>
      <c r="B154">
        <v>8</v>
      </c>
      <c r="C154">
        <v>8</v>
      </c>
      <c r="D154">
        <v>8</v>
      </c>
      <c r="F154">
        <v>18</v>
      </c>
      <c r="G154">
        <v>8</v>
      </c>
      <c r="H154">
        <v>8</v>
      </c>
      <c r="I154">
        <v>13</v>
      </c>
      <c r="J154">
        <v>13</v>
      </c>
    </row>
    <row r="155" spans="1:11" x14ac:dyDescent="0.25">
      <c r="A155" t="s">
        <v>1244</v>
      </c>
      <c r="B155">
        <v>10</v>
      </c>
      <c r="C155">
        <v>25</v>
      </c>
      <c r="D155">
        <v>23</v>
      </c>
      <c r="F155">
        <v>14</v>
      </c>
      <c r="G155">
        <v>6</v>
      </c>
      <c r="H155">
        <v>6</v>
      </c>
      <c r="I155">
        <v>4</v>
      </c>
      <c r="J155">
        <v>6</v>
      </c>
    </row>
    <row r="156" spans="1:11" x14ac:dyDescent="0.25">
      <c r="A156" t="s">
        <v>1245</v>
      </c>
      <c r="B156">
        <v>21</v>
      </c>
      <c r="C156">
        <v>12</v>
      </c>
      <c r="D156">
        <v>8</v>
      </c>
      <c r="F156">
        <v>13</v>
      </c>
      <c r="G156">
        <v>8</v>
      </c>
      <c r="H156">
        <v>16</v>
      </c>
      <c r="I156">
        <v>8</v>
      </c>
      <c r="J156">
        <v>10</v>
      </c>
    </row>
    <row r="157" spans="1:11" x14ac:dyDescent="0.25">
      <c r="A157" t="s">
        <v>231</v>
      </c>
      <c r="B157">
        <f>SUM(B151:B156)</f>
        <v>79</v>
      </c>
      <c r="C157">
        <f>SUM(C151:C156)</f>
        <v>85</v>
      </c>
      <c r="D157">
        <f>SUM(D151:D156)</f>
        <v>82</v>
      </c>
      <c r="F157">
        <f>SUM(F151:F156)</f>
        <v>76</v>
      </c>
      <c r="G157">
        <f>SUM(G151:G156)</f>
        <v>76</v>
      </c>
      <c r="H157">
        <f>SUM(H151:H156)</f>
        <v>76</v>
      </c>
      <c r="I157">
        <f>SUM(I151:I156)</f>
        <v>76</v>
      </c>
      <c r="J157">
        <f>SUM(J151:J156)</f>
        <v>74</v>
      </c>
    </row>
    <row r="159" spans="1:11" x14ac:dyDescent="0.25">
      <c r="B159">
        <v>8</v>
      </c>
      <c r="C159">
        <v>13</v>
      </c>
      <c r="D159">
        <v>10</v>
      </c>
      <c r="F159">
        <v>8</v>
      </c>
      <c r="G159">
        <v>13</v>
      </c>
      <c r="H159">
        <v>10</v>
      </c>
    </row>
    <row r="160" spans="1:11" x14ac:dyDescent="0.25">
      <c r="B160">
        <v>16</v>
      </c>
      <c r="C160">
        <v>13</v>
      </c>
      <c r="D160">
        <v>14</v>
      </c>
      <c r="F160">
        <v>16</v>
      </c>
      <c r="G160">
        <v>13</v>
      </c>
      <c r="H160">
        <v>14</v>
      </c>
    </row>
    <row r="161" spans="2:13" x14ac:dyDescent="0.25">
      <c r="B161">
        <v>12</v>
      </c>
      <c r="C161">
        <v>10</v>
      </c>
      <c r="D161">
        <v>16</v>
      </c>
      <c r="F161">
        <v>12</v>
      </c>
      <c r="G161">
        <v>10</v>
      </c>
      <c r="H161">
        <v>16</v>
      </c>
    </row>
    <row r="162" spans="2:13" x14ac:dyDescent="0.25">
      <c r="B162">
        <v>10</v>
      </c>
      <c r="C162">
        <v>18</v>
      </c>
      <c r="D162">
        <v>18</v>
      </c>
      <c r="F162">
        <v>10</v>
      </c>
      <c r="G162">
        <v>18</v>
      </c>
      <c r="H162">
        <v>18</v>
      </c>
    </row>
    <row r="163" spans="2:13" x14ac:dyDescent="0.25">
      <c r="B163">
        <v>12</v>
      </c>
      <c r="C163">
        <v>14</v>
      </c>
      <c r="D163">
        <v>6</v>
      </c>
      <c r="F163">
        <v>12</v>
      </c>
      <c r="G163">
        <v>14</v>
      </c>
      <c r="H163">
        <v>6</v>
      </c>
    </row>
    <row r="164" spans="2:13" x14ac:dyDescent="0.25">
      <c r="B164">
        <v>18</v>
      </c>
      <c r="C164">
        <v>8</v>
      </c>
      <c r="D164">
        <v>12</v>
      </c>
      <c r="F164">
        <v>18</v>
      </c>
      <c r="G164">
        <v>8</v>
      </c>
      <c r="H164">
        <v>12</v>
      </c>
    </row>
    <row r="165" spans="2:13" x14ac:dyDescent="0.25">
      <c r="B165">
        <f>SUM(B159:B164)</f>
        <v>76</v>
      </c>
      <c r="C165">
        <f>SUM(C159:C164)</f>
        <v>76</v>
      </c>
      <c r="D165">
        <f>SUM(D159:D164)</f>
        <v>76</v>
      </c>
      <c r="F165">
        <f>SUM(F159:F164)</f>
        <v>76</v>
      </c>
      <c r="G165">
        <f>SUM(G159:G164)</f>
        <v>76</v>
      </c>
      <c r="H165">
        <f>SUM(H159:H164)</f>
        <v>76</v>
      </c>
    </row>
    <row r="168" spans="2:13" x14ac:dyDescent="0.25">
      <c r="J168">
        <f>6.5*2</f>
        <v>13</v>
      </c>
      <c r="K168" t="s">
        <v>212</v>
      </c>
      <c r="L168">
        <v>4</v>
      </c>
      <c r="M168" t="s">
        <v>3067</v>
      </c>
    </row>
    <row r="169" spans="2:13" x14ac:dyDescent="0.25">
      <c r="F169">
        <f>4.5+10+10+5+2+1+1+4+2+11</f>
        <v>50.5</v>
      </c>
      <c r="J169">
        <v>5</v>
      </c>
      <c r="K169" t="s">
        <v>232</v>
      </c>
      <c r="L169">
        <v>1</v>
      </c>
      <c r="M169" t="s">
        <v>3068</v>
      </c>
    </row>
    <row r="170" spans="2:13" x14ac:dyDescent="0.25">
      <c r="B170" t="s">
        <v>2219</v>
      </c>
      <c r="C170" t="s">
        <v>2223</v>
      </c>
      <c r="D170" t="s">
        <v>2366</v>
      </c>
      <c r="J170">
        <v>2</v>
      </c>
      <c r="K170" t="s">
        <v>1600</v>
      </c>
      <c r="L170">
        <v>1</v>
      </c>
      <c r="M170" t="s">
        <v>1909</v>
      </c>
    </row>
    <row r="171" spans="2:13" x14ac:dyDescent="0.25">
      <c r="B171">
        <v>8</v>
      </c>
      <c r="C171">
        <v>12</v>
      </c>
      <c r="D171">
        <v>10</v>
      </c>
      <c r="J171">
        <v>15</v>
      </c>
      <c r="K171" t="s">
        <v>155</v>
      </c>
      <c r="L171">
        <v>2</v>
      </c>
      <c r="M171" t="s">
        <v>3069</v>
      </c>
    </row>
    <row r="172" spans="2:13" x14ac:dyDescent="0.25">
      <c r="B172">
        <v>18</v>
      </c>
      <c r="C172">
        <v>18</v>
      </c>
      <c r="D172">
        <v>14</v>
      </c>
      <c r="J172">
        <v>2</v>
      </c>
      <c r="K172" t="s">
        <v>3010</v>
      </c>
      <c r="L172">
        <v>3</v>
      </c>
      <c r="M172" t="s">
        <v>3070</v>
      </c>
    </row>
    <row r="173" spans="2:13" x14ac:dyDescent="0.25">
      <c r="B173">
        <v>14</v>
      </c>
      <c r="C173">
        <v>10</v>
      </c>
      <c r="D173">
        <v>19</v>
      </c>
      <c r="J173">
        <v>1</v>
      </c>
      <c r="K173" t="s">
        <v>637</v>
      </c>
      <c r="L173">
        <v>1</v>
      </c>
      <c r="M173" t="s">
        <v>3071</v>
      </c>
    </row>
    <row r="174" spans="2:13" x14ac:dyDescent="0.25">
      <c r="B174">
        <v>8</v>
      </c>
      <c r="C174">
        <v>8</v>
      </c>
      <c r="D174">
        <v>8</v>
      </c>
      <c r="J174">
        <v>1</v>
      </c>
      <c r="K174" t="s">
        <v>877</v>
      </c>
    </row>
    <row r="175" spans="2:13" x14ac:dyDescent="0.25">
      <c r="B175">
        <v>10</v>
      </c>
      <c r="C175">
        <v>25</v>
      </c>
      <c r="D175">
        <v>23</v>
      </c>
      <c r="F175">
        <f>5.5+3+5+10</f>
        <v>23.5</v>
      </c>
      <c r="J175">
        <v>1</v>
      </c>
      <c r="K175" t="s">
        <v>3012</v>
      </c>
    </row>
    <row r="176" spans="2:13" x14ac:dyDescent="0.25">
      <c r="B176">
        <v>21</v>
      </c>
      <c r="C176">
        <v>12</v>
      </c>
      <c r="D176">
        <v>8</v>
      </c>
      <c r="J176">
        <v>4</v>
      </c>
      <c r="K176" t="s">
        <v>890</v>
      </c>
    </row>
    <row r="177" spans="2:12" x14ac:dyDescent="0.25">
      <c r="F177">
        <f>F175*(1+0.5+0.5+0.5+0.5+1)+(4.5+2+10)</f>
        <v>110.5</v>
      </c>
      <c r="H177">
        <f>3.5*3+4+3.5*3*4*1.2+14</f>
        <v>78.900000000000006</v>
      </c>
    </row>
    <row r="178" spans="2:12" x14ac:dyDescent="0.25">
      <c r="B178" t="s">
        <v>2967</v>
      </c>
      <c r="C178" t="s">
        <v>2970</v>
      </c>
      <c r="D178" t="s">
        <v>2975</v>
      </c>
      <c r="G178">
        <f>3.5+4+3+10+5</f>
        <v>25.5</v>
      </c>
      <c r="H178">
        <f>3.5*3+4+3.5*3*1.2+14</f>
        <v>41.1</v>
      </c>
    </row>
    <row r="179" spans="2:12" x14ac:dyDescent="0.25">
      <c r="B179" t="s">
        <v>2968</v>
      </c>
      <c r="C179" t="s">
        <v>2967</v>
      </c>
      <c r="D179" t="s">
        <v>2970</v>
      </c>
      <c r="G179">
        <f>G178*3</f>
        <v>76.5</v>
      </c>
    </row>
    <row r="180" spans="2:12" x14ac:dyDescent="0.25">
      <c r="B180" t="s">
        <v>2986</v>
      </c>
      <c r="C180" t="s">
        <v>2971</v>
      </c>
      <c r="D180" t="s">
        <v>2968</v>
      </c>
      <c r="J180">
        <f>SUM(J168:J179)</f>
        <v>44</v>
      </c>
      <c r="L180">
        <f>SUM(L168:L179)</f>
        <v>12</v>
      </c>
    </row>
    <row r="181" spans="2:12" x14ac:dyDescent="0.25">
      <c r="B181" t="s">
        <v>2969</v>
      </c>
      <c r="C181" t="s">
        <v>2967</v>
      </c>
      <c r="D181" t="s">
        <v>2973</v>
      </c>
    </row>
    <row r="182" spans="2:12" x14ac:dyDescent="0.25">
      <c r="C182" t="s">
        <v>2972</v>
      </c>
      <c r="D182" t="s">
        <v>2971</v>
      </c>
      <c r="G182">
        <f>3.5+4+3+2+14</f>
        <v>26.5</v>
      </c>
    </row>
    <row r="183" spans="2:12" x14ac:dyDescent="0.25">
      <c r="C183" t="s">
        <v>2968</v>
      </c>
      <c r="D183" t="s">
        <v>2976</v>
      </c>
      <c r="G183">
        <f>G182*(1+0.5+0.5+0.5)+(5+2+2+14)</f>
        <v>89.25</v>
      </c>
    </row>
    <row r="184" spans="2:12" x14ac:dyDescent="0.25">
      <c r="B184" s="4" t="s">
        <v>921</v>
      </c>
      <c r="C184" t="s">
        <v>2973</v>
      </c>
      <c r="D184" t="s">
        <v>2977</v>
      </c>
    </row>
    <row r="185" spans="2:12" x14ac:dyDescent="0.25">
      <c r="B185" t="s">
        <v>1909</v>
      </c>
      <c r="C185" t="s">
        <v>2969</v>
      </c>
      <c r="D185" t="s">
        <v>2978</v>
      </c>
    </row>
    <row r="186" spans="2:12" x14ac:dyDescent="0.25">
      <c r="B186" s="4" t="s">
        <v>1473</v>
      </c>
      <c r="C186" t="s">
        <v>2974</v>
      </c>
      <c r="D186" t="s">
        <v>2979</v>
      </c>
    </row>
    <row r="187" spans="2:12" x14ac:dyDescent="0.25">
      <c r="B187" t="s">
        <v>2987</v>
      </c>
      <c r="C187" t="s">
        <v>2985</v>
      </c>
      <c r="D187" t="s">
        <v>2980</v>
      </c>
    </row>
    <row r="188" spans="2:12" x14ac:dyDescent="0.25">
      <c r="B188" t="s">
        <v>1911</v>
      </c>
      <c r="D188" t="s">
        <v>2981</v>
      </c>
    </row>
    <row r="189" spans="2:12" x14ac:dyDescent="0.25">
      <c r="B189" t="s">
        <v>841</v>
      </c>
      <c r="C189" t="s">
        <v>3009</v>
      </c>
      <c r="D189" t="s">
        <v>2982</v>
      </c>
    </row>
    <row r="190" spans="2:12" x14ac:dyDescent="0.25">
      <c r="B190" t="s">
        <v>2988</v>
      </c>
      <c r="C190" t="s">
        <v>1479</v>
      </c>
      <c r="D190" t="s">
        <v>2983</v>
      </c>
      <c r="E190" t="s">
        <v>3060</v>
      </c>
    </row>
    <row r="191" spans="2:12" x14ac:dyDescent="0.25">
      <c r="B191" t="s">
        <v>850</v>
      </c>
      <c r="C191" t="s">
        <v>2480</v>
      </c>
      <c r="D191" t="s">
        <v>2984</v>
      </c>
      <c r="E191" t="s">
        <v>1906</v>
      </c>
    </row>
    <row r="192" spans="2:12" x14ac:dyDescent="0.25">
      <c r="B192" t="s">
        <v>849</v>
      </c>
      <c r="C192" t="s">
        <v>877</v>
      </c>
      <c r="E192" t="s">
        <v>3061</v>
      </c>
    </row>
    <row r="193" spans="2:8" x14ac:dyDescent="0.25">
      <c r="B193" t="s">
        <v>2989</v>
      </c>
      <c r="C193" t="s">
        <v>3010</v>
      </c>
      <c r="D193" s="4" t="s">
        <v>2990</v>
      </c>
      <c r="E193" t="s">
        <v>3062</v>
      </c>
    </row>
    <row r="194" spans="2:8" x14ac:dyDescent="0.25">
      <c r="C194" t="s">
        <v>890</v>
      </c>
      <c r="D194" s="4" t="s">
        <v>2991</v>
      </c>
      <c r="E194" t="s">
        <v>3063</v>
      </c>
    </row>
    <row r="195" spans="2:8" x14ac:dyDescent="0.25">
      <c r="C195" t="s">
        <v>689</v>
      </c>
      <c r="D195" t="s">
        <v>878</v>
      </c>
    </row>
    <row r="196" spans="2:8" x14ac:dyDescent="0.25">
      <c r="B196" s="1" t="s">
        <v>3020</v>
      </c>
      <c r="C196" t="s">
        <v>916</v>
      </c>
      <c r="D196" t="s">
        <v>811</v>
      </c>
    </row>
    <row r="197" spans="2:8" x14ac:dyDescent="0.25">
      <c r="B197" s="1" t="s">
        <v>3021</v>
      </c>
      <c r="C197" t="s">
        <v>964</v>
      </c>
      <c r="D197" s="4" t="s">
        <v>2992</v>
      </c>
    </row>
    <row r="198" spans="2:8" x14ac:dyDescent="0.25">
      <c r="B198" s="1" t="s">
        <v>3022</v>
      </c>
      <c r="C198" t="s">
        <v>869</v>
      </c>
      <c r="D198" s="4" t="s">
        <v>2993</v>
      </c>
      <c r="F198" t="s">
        <v>2688</v>
      </c>
      <c r="G198" t="s">
        <v>3065</v>
      </c>
      <c r="H198" t="s">
        <v>3064</v>
      </c>
    </row>
    <row r="199" spans="2:8" x14ac:dyDescent="0.25">
      <c r="B199" s="1" t="s">
        <v>3046</v>
      </c>
      <c r="C199" t="s">
        <v>871</v>
      </c>
      <c r="D199" s="4" t="s">
        <v>836</v>
      </c>
      <c r="E199" t="s">
        <v>2788</v>
      </c>
      <c r="F199">
        <v>15000000</v>
      </c>
      <c r="G199">
        <v>2500000</v>
      </c>
      <c r="H199">
        <v>30</v>
      </c>
    </row>
    <row r="200" spans="2:8" x14ac:dyDescent="0.25">
      <c r="B200" s="1" t="s">
        <v>3023</v>
      </c>
      <c r="C200" t="s">
        <v>3011</v>
      </c>
      <c r="D200" s="4" t="s">
        <v>2994</v>
      </c>
      <c r="E200" t="s">
        <v>2789</v>
      </c>
      <c r="F200">
        <v>435000</v>
      </c>
      <c r="G200">
        <v>140000</v>
      </c>
      <c r="H200">
        <v>30</v>
      </c>
    </row>
    <row r="201" spans="2:8" x14ac:dyDescent="0.25">
      <c r="B201" s="1" t="s">
        <v>3024</v>
      </c>
      <c r="C201" t="s">
        <v>877</v>
      </c>
      <c r="D201" t="s">
        <v>2995</v>
      </c>
      <c r="E201" t="s">
        <v>2795</v>
      </c>
      <c r="F201">
        <v>161000</v>
      </c>
      <c r="G201">
        <v>100000</v>
      </c>
      <c r="H201">
        <v>10</v>
      </c>
    </row>
    <row r="202" spans="2:8" x14ac:dyDescent="0.25">
      <c r="B202" s="1" t="s">
        <v>3025</v>
      </c>
      <c r="C202" t="s">
        <v>2994</v>
      </c>
      <c r="D202" t="s">
        <v>2996</v>
      </c>
      <c r="E202" t="s">
        <v>2787</v>
      </c>
      <c r="F202">
        <v>500000</v>
      </c>
      <c r="G202">
        <v>450000</v>
      </c>
      <c r="H202">
        <v>11</v>
      </c>
    </row>
    <row r="203" spans="2:8" x14ac:dyDescent="0.25">
      <c r="B203" s="4" t="s">
        <v>3026</v>
      </c>
      <c r="C203" t="s">
        <v>3012</v>
      </c>
      <c r="D203" t="s">
        <v>2997</v>
      </c>
      <c r="E203" t="s">
        <v>2790</v>
      </c>
      <c r="F203">
        <v>2950000</v>
      </c>
      <c r="G203">
        <v>3000000</v>
      </c>
      <c r="H203">
        <v>19</v>
      </c>
    </row>
    <row r="204" spans="2:8" x14ac:dyDescent="0.25">
      <c r="B204" s="1" t="s">
        <v>3027</v>
      </c>
      <c r="C204" t="s">
        <v>3013</v>
      </c>
      <c r="D204" s="1" t="s">
        <v>2998</v>
      </c>
      <c r="E204" s="1" t="s">
        <v>2791</v>
      </c>
      <c r="F204">
        <v>8000000</v>
      </c>
      <c r="G204">
        <v>4500000</v>
      </c>
      <c r="H204">
        <v>40</v>
      </c>
    </row>
    <row r="205" spans="2:8" x14ac:dyDescent="0.25">
      <c r="B205" s="1" t="s">
        <v>3028</v>
      </c>
      <c r="C205" t="s">
        <v>1994</v>
      </c>
      <c r="D205" s="4" t="s">
        <v>2999</v>
      </c>
    </row>
    <row r="206" spans="2:8" x14ac:dyDescent="0.25">
      <c r="B206" s="1" t="s">
        <v>3029</v>
      </c>
      <c r="C206" t="s">
        <v>1912</v>
      </c>
      <c r="D206" s="4" t="s">
        <v>940</v>
      </c>
    </row>
    <row r="207" spans="2:8" x14ac:dyDescent="0.25">
      <c r="B207" s="1" t="s">
        <v>3030</v>
      </c>
      <c r="C207" t="s">
        <v>890</v>
      </c>
      <c r="D207" t="s">
        <v>3000</v>
      </c>
    </row>
    <row r="208" spans="2:8" x14ac:dyDescent="0.25">
      <c r="B208" s="1" t="s">
        <v>3031</v>
      </c>
      <c r="C208" t="s">
        <v>3014</v>
      </c>
      <c r="D208" s="4" t="s">
        <v>3001</v>
      </c>
    </row>
    <row r="209" spans="2:7" x14ac:dyDescent="0.25">
      <c r="B209" s="1" t="s">
        <v>3032</v>
      </c>
      <c r="C209" t="s">
        <v>3015</v>
      </c>
      <c r="D209" s="4" t="s">
        <v>849</v>
      </c>
    </row>
    <row r="210" spans="2:7" x14ac:dyDescent="0.25">
      <c r="B210" s="1" t="s">
        <v>1102</v>
      </c>
      <c r="C210" t="s">
        <v>647</v>
      </c>
      <c r="D210" s="4" t="s">
        <v>3002</v>
      </c>
    </row>
    <row r="211" spans="2:7" x14ac:dyDescent="0.25">
      <c r="B211" s="1" t="s">
        <v>3033</v>
      </c>
      <c r="C211" t="s">
        <v>2352</v>
      </c>
      <c r="D211" s="4" t="s">
        <v>3003</v>
      </c>
    </row>
    <row r="212" spans="2:7" x14ac:dyDescent="0.25">
      <c r="B212" s="1" t="s">
        <v>3034</v>
      </c>
      <c r="C212" t="s">
        <v>896</v>
      </c>
      <c r="D212" s="4" t="s">
        <v>3004</v>
      </c>
    </row>
    <row r="213" spans="2:7" x14ac:dyDescent="0.25">
      <c r="B213" s="1" t="s">
        <v>3035</v>
      </c>
      <c r="C213" t="s">
        <v>3016</v>
      </c>
      <c r="D213" s="4" t="s">
        <v>3005</v>
      </c>
    </row>
    <row r="214" spans="2:7" x14ac:dyDescent="0.25">
      <c r="B214" s="1" t="s">
        <v>3036</v>
      </c>
      <c r="C214" t="s">
        <v>3017</v>
      </c>
      <c r="D214" s="1" t="s">
        <v>3006</v>
      </c>
      <c r="E214" s="1"/>
    </row>
    <row r="215" spans="2:7" x14ac:dyDescent="0.25">
      <c r="B215" s="1" t="s">
        <v>3037</v>
      </c>
      <c r="C215" t="s">
        <v>905</v>
      </c>
      <c r="D215" s="4" t="s">
        <v>3007</v>
      </c>
    </row>
    <row r="216" spans="2:7" x14ac:dyDescent="0.25">
      <c r="B216" s="1" t="s">
        <v>3038</v>
      </c>
      <c r="C216" t="s">
        <v>3018</v>
      </c>
      <c r="D216" s="4" t="s">
        <v>3008</v>
      </c>
    </row>
    <row r="217" spans="2:7" x14ac:dyDescent="0.25">
      <c r="B217" s="1" t="s">
        <v>3039</v>
      </c>
      <c r="C217" t="s">
        <v>916</v>
      </c>
    </row>
    <row r="218" spans="2:7" x14ac:dyDescent="0.25">
      <c r="B218" s="1" t="s">
        <v>3040</v>
      </c>
      <c r="C218" t="s">
        <v>3019</v>
      </c>
    </row>
    <row r="219" spans="2:7" x14ac:dyDescent="0.25">
      <c r="B219" s="1" t="s">
        <v>3041</v>
      </c>
      <c r="C219" t="s">
        <v>914</v>
      </c>
    </row>
    <row r="220" spans="2:7" x14ac:dyDescent="0.25">
      <c r="B220" s="1" t="s">
        <v>3042</v>
      </c>
    </row>
    <row r="221" spans="2:7" x14ac:dyDescent="0.25">
      <c r="B221" s="1" t="s">
        <v>3043</v>
      </c>
    </row>
    <row r="222" spans="2:7" x14ac:dyDescent="0.25">
      <c r="B222" s="1" t="s">
        <v>3044</v>
      </c>
      <c r="D222" t="s">
        <v>3098</v>
      </c>
      <c r="E222" t="s">
        <v>3099</v>
      </c>
      <c r="F222" t="s">
        <v>2395</v>
      </c>
      <c r="G222" t="s">
        <v>2519</v>
      </c>
    </row>
    <row r="223" spans="2:7" x14ac:dyDescent="0.25">
      <c r="B223" s="1" t="s">
        <v>3045</v>
      </c>
      <c r="C223">
        <v>10</v>
      </c>
      <c r="D223">
        <f t="shared" ref="D223:D228" si="4">C223+2</f>
        <v>12</v>
      </c>
      <c r="E223">
        <v>12</v>
      </c>
      <c r="F223">
        <v>12</v>
      </c>
      <c r="G223">
        <v>20</v>
      </c>
    </row>
    <row r="224" spans="2:7" x14ac:dyDescent="0.25">
      <c r="C224">
        <v>10</v>
      </c>
      <c r="D224">
        <f t="shared" si="4"/>
        <v>12</v>
      </c>
      <c r="E224">
        <v>19</v>
      </c>
      <c r="F224">
        <v>24</v>
      </c>
      <c r="G224">
        <v>24</v>
      </c>
    </row>
    <row r="225" spans="1:9" x14ac:dyDescent="0.25">
      <c r="C225">
        <v>10</v>
      </c>
      <c r="D225">
        <f t="shared" si="4"/>
        <v>12</v>
      </c>
      <c r="E225">
        <v>12</v>
      </c>
      <c r="F225">
        <v>12</v>
      </c>
      <c r="G225">
        <v>12</v>
      </c>
    </row>
    <row r="226" spans="1:9" x14ac:dyDescent="0.25">
      <c r="C226">
        <v>13</v>
      </c>
      <c r="D226">
        <f t="shared" si="4"/>
        <v>15</v>
      </c>
      <c r="E226">
        <v>22</v>
      </c>
      <c r="F226">
        <v>22</v>
      </c>
      <c r="G226">
        <v>22</v>
      </c>
    </row>
    <row r="227" spans="1:9" x14ac:dyDescent="0.25">
      <c r="A227">
        <v>8</v>
      </c>
      <c r="B227" t="s">
        <v>3097</v>
      </c>
      <c r="C227">
        <v>18</v>
      </c>
      <c r="D227">
        <f t="shared" si="4"/>
        <v>20</v>
      </c>
      <c r="E227">
        <v>25</v>
      </c>
      <c r="F227">
        <v>30</v>
      </c>
      <c r="G227">
        <v>30</v>
      </c>
    </row>
    <row r="228" spans="1:9" x14ac:dyDescent="0.25">
      <c r="A228">
        <v>15</v>
      </c>
      <c r="B228" t="s">
        <v>617</v>
      </c>
      <c r="C228">
        <v>13</v>
      </c>
      <c r="D228">
        <f t="shared" si="4"/>
        <v>15</v>
      </c>
      <c r="E228">
        <v>3</v>
      </c>
      <c r="F228">
        <v>3</v>
      </c>
      <c r="G228">
        <v>8</v>
      </c>
    </row>
    <row r="229" spans="1:9" x14ac:dyDescent="0.25">
      <c r="A229">
        <v>4</v>
      </c>
      <c r="B229" t="s">
        <v>1078</v>
      </c>
      <c r="C229">
        <f t="shared" ref="C229:H229" si="5">SUM(C223:C228)</f>
        <v>74</v>
      </c>
      <c r="D229">
        <f t="shared" si="5"/>
        <v>86</v>
      </c>
      <c r="E229">
        <f t="shared" si="5"/>
        <v>93</v>
      </c>
      <c r="F229">
        <f t="shared" si="5"/>
        <v>103</v>
      </c>
      <c r="G229">
        <f t="shared" si="5"/>
        <v>116</v>
      </c>
      <c r="H229">
        <f t="shared" si="5"/>
        <v>0</v>
      </c>
    </row>
    <row r="230" spans="1:9" x14ac:dyDescent="0.25">
      <c r="A230">
        <v>236</v>
      </c>
      <c r="B230" t="s">
        <v>1082</v>
      </c>
    </row>
    <row r="231" spans="1:9" x14ac:dyDescent="0.25">
      <c r="C231" t="s">
        <v>212</v>
      </c>
      <c r="D231">
        <v>10</v>
      </c>
      <c r="E231">
        <v>10</v>
      </c>
      <c r="F231">
        <v>10</v>
      </c>
      <c r="G231">
        <v>10</v>
      </c>
      <c r="H231">
        <v>10</v>
      </c>
    </row>
    <row r="232" spans="1:9" x14ac:dyDescent="0.25">
      <c r="A232">
        <v>21</v>
      </c>
      <c r="B232" t="s">
        <v>618</v>
      </c>
      <c r="C232" t="s">
        <v>1241</v>
      </c>
      <c r="D232">
        <v>4</v>
      </c>
      <c r="E232">
        <v>4</v>
      </c>
      <c r="F232">
        <v>7</v>
      </c>
      <c r="G232">
        <v>8</v>
      </c>
      <c r="H232">
        <v>5</v>
      </c>
      <c r="I232" t="s">
        <v>1241</v>
      </c>
    </row>
    <row r="233" spans="1:9" x14ac:dyDescent="0.25">
      <c r="A233">
        <v>8</v>
      </c>
      <c r="B233" t="s">
        <v>3097</v>
      </c>
      <c r="C233" t="s">
        <v>1244</v>
      </c>
      <c r="D233">
        <v>9</v>
      </c>
      <c r="E233">
        <v>5</v>
      </c>
      <c r="F233">
        <v>10</v>
      </c>
      <c r="G233">
        <v>5</v>
      </c>
      <c r="H233">
        <v>5</v>
      </c>
      <c r="I233" t="s">
        <v>3066</v>
      </c>
    </row>
    <row r="234" spans="1:9" x14ac:dyDescent="0.25">
      <c r="A234">
        <v>1</v>
      </c>
      <c r="B234" t="s">
        <v>1078</v>
      </c>
      <c r="C234" t="s">
        <v>922</v>
      </c>
      <c r="D234">
        <v>7</v>
      </c>
      <c r="E234">
        <v>7</v>
      </c>
      <c r="F234">
        <v>4</v>
      </c>
      <c r="G234">
        <v>8</v>
      </c>
      <c r="H234">
        <v>7</v>
      </c>
      <c r="I234" t="s">
        <v>922</v>
      </c>
    </row>
    <row r="235" spans="1:9" x14ac:dyDescent="0.25">
      <c r="A235">
        <v>236</v>
      </c>
      <c r="B235" t="s">
        <v>1082</v>
      </c>
      <c r="C235" t="s">
        <v>637</v>
      </c>
      <c r="G235">
        <v>6</v>
      </c>
      <c r="H235">
        <v>6</v>
      </c>
      <c r="I235" t="s">
        <v>830</v>
      </c>
    </row>
    <row r="236" spans="1:9" x14ac:dyDescent="0.25">
      <c r="C236" t="s">
        <v>1541</v>
      </c>
      <c r="D236">
        <v>5</v>
      </c>
      <c r="F236">
        <v>5</v>
      </c>
      <c r="G236">
        <v>4</v>
      </c>
      <c r="H236">
        <v>4</v>
      </c>
      <c r="I236" t="s">
        <v>1541</v>
      </c>
    </row>
    <row r="237" spans="1:9" x14ac:dyDescent="0.25">
      <c r="A237">
        <v>8</v>
      </c>
      <c r="B237" t="s">
        <v>3097</v>
      </c>
      <c r="C237" t="s">
        <v>3119</v>
      </c>
      <c r="D237">
        <v>5</v>
      </c>
      <c r="E237">
        <v>5</v>
      </c>
      <c r="F237">
        <v>5</v>
      </c>
      <c r="G237">
        <v>5</v>
      </c>
      <c r="H237">
        <v>3</v>
      </c>
      <c r="I237" t="s">
        <v>1911</v>
      </c>
    </row>
    <row r="238" spans="1:9" x14ac:dyDescent="0.25">
      <c r="A238">
        <v>1</v>
      </c>
      <c r="B238" t="s">
        <v>1082</v>
      </c>
      <c r="C238" t="s">
        <v>841</v>
      </c>
      <c r="D238">
        <v>4</v>
      </c>
      <c r="E238">
        <v>4</v>
      </c>
      <c r="F238">
        <v>4</v>
      </c>
      <c r="G238">
        <v>4</v>
      </c>
      <c r="H238">
        <v>4</v>
      </c>
      <c r="I238" t="s">
        <v>841</v>
      </c>
    </row>
    <row r="239" spans="1:9" x14ac:dyDescent="0.25">
      <c r="A239">
        <v>19</v>
      </c>
      <c r="B239" t="s">
        <v>1807</v>
      </c>
      <c r="C239" t="s">
        <v>3046</v>
      </c>
      <c r="D239">
        <v>5</v>
      </c>
      <c r="F239">
        <v>5</v>
      </c>
      <c r="G239">
        <v>5</v>
      </c>
      <c r="H239">
        <v>5</v>
      </c>
      <c r="I239" t="s">
        <v>3046</v>
      </c>
    </row>
    <row r="240" spans="1:9" x14ac:dyDescent="0.25">
      <c r="A240">
        <v>1</v>
      </c>
      <c r="B240" t="s">
        <v>1598</v>
      </c>
      <c r="C240" t="s">
        <v>3058</v>
      </c>
      <c r="G240">
        <v>3</v>
      </c>
      <c r="I240" t="s">
        <v>3058</v>
      </c>
    </row>
    <row r="241" spans="1:9" x14ac:dyDescent="0.25">
      <c r="A241">
        <v>1</v>
      </c>
      <c r="B241" t="s">
        <v>1078</v>
      </c>
      <c r="C241" t="s">
        <v>2967</v>
      </c>
      <c r="D241">
        <v>1</v>
      </c>
      <c r="E241">
        <v>1</v>
      </c>
      <c r="F241">
        <v>1</v>
      </c>
      <c r="G241">
        <v>1</v>
      </c>
      <c r="H241">
        <v>1</v>
      </c>
      <c r="I241" t="s">
        <v>2967</v>
      </c>
    </row>
    <row r="242" spans="1:9" x14ac:dyDescent="0.25">
      <c r="A242">
        <v>236</v>
      </c>
      <c r="B242" t="s">
        <v>618</v>
      </c>
      <c r="C242" t="s">
        <v>3059</v>
      </c>
      <c r="F242">
        <v>4</v>
      </c>
      <c r="G242">
        <v>2</v>
      </c>
      <c r="I242" t="s">
        <v>637</v>
      </c>
    </row>
    <row r="243" spans="1:9" x14ac:dyDescent="0.25">
      <c r="C243" t="s">
        <v>811</v>
      </c>
      <c r="G243">
        <v>5</v>
      </c>
      <c r="I243" t="s">
        <v>811</v>
      </c>
    </row>
    <row r="244" spans="1:9" x14ac:dyDescent="0.25">
      <c r="A244">
        <v>11</v>
      </c>
      <c r="B244" t="s">
        <v>512</v>
      </c>
      <c r="C244" t="s">
        <v>1082</v>
      </c>
      <c r="G244">
        <v>4</v>
      </c>
      <c r="I244" t="s">
        <v>1082</v>
      </c>
    </row>
    <row r="245" spans="1:9" x14ac:dyDescent="0.25">
      <c r="A245">
        <v>19</v>
      </c>
      <c r="B245" t="s">
        <v>1807</v>
      </c>
      <c r="C245" t="s">
        <v>3066</v>
      </c>
      <c r="D245">
        <v>5</v>
      </c>
      <c r="E245">
        <v>5</v>
      </c>
      <c r="F245">
        <v>5</v>
      </c>
    </row>
    <row r="246" spans="1:9" x14ac:dyDescent="0.25">
      <c r="A246">
        <v>236</v>
      </c>
      <c r="B246" t="s">
        <v>618</v>
      </c>
      <c r="C246" t="s">
        <v>830</v>
      </c>
      <c r="D246">
        <v>6</v>
      </c>
    </row>
    <row r="247" spans="1:9" x14ac:dyDescent="0.25">
      <c r="C247" t="s">
        <v>3098</v>
      </c>
      <c r="D247">
        <v>25</v>
      </c>
      <c r="E247">
        <v>20</v>
      </c>
      <c r="F247">
        <v>25</v>
      </c>
    </row>
    <row r="248" spans="1:9" x14ac:dyDescent="0.25">
      <c r="A248">
        <v>25</v>
      </c>
      <c r="B248" t="s">
        <v>1807</v>
      </c>
    </row>
    <row r="249" spans="1:9" x14ac:dyDescent="0.25">
      <c r="A249">
        <v>1</v>
      </c>
      <c r="B249" t="s">
        <v>1598</v>
      </c>
      <c r="D249">
        <f>SUM(D231:D248)</f>
        <v>86</v>
      </c>
      <c r="E249">
        <f>SUM(E231:E248)</f>
        <v>61</v>
      </c>
      <c r="F249">
        <f>SUM(F231:F248)</f>
        <v>85</v>
      </c>
      <c r="G249">
        <f>SUM(G231:G248)</f>
        <v>70</v>
      </c>
      <c r="H249">
        <f>SUM(H231:H248)</f>
        <v>50</v>
      </c>
    </row>
    <row r="250" spans="1:9" x14ac:dyDescent="0.25">
      <c r="A250">
        <v>4</v>
      </c>
      <c r="B250" t="s">
        <v>1078</v>
      </c>
    </row>
    <row r="251" spans="1:9" x14ac:dyDescent="0.25">
      <c r="A251">
        <v>236</v>
      </c>
      <c r="B251" t="s">
        <v>1082</v>
      </c>
    </row>
    <row r="253" spans="1:9" x14ac:dyDescent="0.25">
      <c r="A253">
        <v>18</v>
      </c>
      <c r="B253" t="s">
        <v>617</v>
      </c>
    </row>
    <row r="254" spans="1:9" x14ac:dyDescent="0.25">
      <c r="A254">
        <v>8</v>
      </c>
      <c r="B254" t="s">
        <v>1781</v>
      </c>
    </row>
    <row r="255" spans="1:9" x14ac:dyDescent="0.25">
      <c r="A255">
        <v>1</v>
      </c>
      <c r="B255" t="s">
        <v>1807</v>
      </c>
    </row>
    <row r="256" spans="1:9" x14ac:dyDescent="0.25">
      <c r="A256">
        <v>2</v>
      </c>
      <c r="B256" t="s">
        <v>1078</v>
      </c>
    </row>
    <row r="258" spans="2:4" x14ac:dyDescent="0.25">
      <c r="B258" t="s">
        <v>3073</v>
      </c>
      <c r="D258" t="s">
        <v>3078</v>
      </c>
    </row>
    <row r="259" spans="2:4" x14ac:dyDescent="0.25">
      <c r="B259" t="s">
        <v>3074</v>
      </c>
      <c r="D259" t="s">
        <v>3085</v>
      </c>
    </row>
    <row r="260" spans="2:4" x14ac:dyDescent="0.25">
      <c r="B260" t="s">
        <v>3075</v>
      </c>
    </row>
    <row r="261" spans="2:4" x14ac:dyDescent="0.25">
      <c r="B261" t="s">
        <v>3076</v>
      </c>
      <c r="D261" t="s">
        <v>3079</v>
      </c>
    </row>
    <row r="262" spans="2:4" x14ac:dyDescent="0.25">
      <c r="B262" t="s">
        <v>3077</v>
      </c>
      <c r="D262" t="s">
        <v>3090</v>
      </c>
    </row>
    <row r="263" spans="2:4" x14ac:dyDescent="0.25">
      <c r="B263" t="s">
        <v>3080</v>
      </c>
      <c r="D263" t="s">
        <v>3087</v>
      </c>
    </row>
    <row r="264" spans="2:4" x14ac:dyDescent="0.25">
      <c r="B264" t="s">
        <v>68</v>
      </c>
      <c r="D264" t="s">
        <v>3089</v>
      </c>
    </row>
    <row r="265" spans="2:4" x14ac:dyDescent="0.25">
      <c r="D265" t="s">
        <v>3081</v>
      </c>
    </row>
    <row r="266" spans="2:4" x14ac:dyDescent="0.25">
      <c r="D266" t="s">
        <v>3088</v>
      </c>
    </row>
    <row r="267" spans="2:4" x14ac:dyDescent="0.25">
      <c r="D267" t="s">
        <v>3082</v>
      </c>
    </row>
    <row r="268" spans="2:4" x14ac:dyDescent="0.25">
      <c r="D268" t="s">
        <v>3083</v>
      </c>
    </row>
    <row r="269" spans="2:4" x14ac:dyDescent="0.25">
      <c r="D269" t="s">
        <v>3086</v>
      </c>
    </row>
    <row r="271" spans="2:4" x14ac:dyDescent="0.25">
      <c r="D271" t="s">
        <v>3084</v>
      </c>
    </row>
    <row r="273" spans="2:7" x14ac:dyDescent="0.25">
      <c r="B273" t="s">
        <v>3095</v>
      </c>
      <c r="C273" t="s">
        <v>3096</v>
      </c>
      <c r="D273" t="s">
        <v>512</v>
      </c>
    </row>
    <row r="274" spans="2:7" x14ac:dyDescent="0.25">
      <c r="D274" t="s">
        <v>3108</v>
      </c>
    </row>
    <row r="275" spans="2:7" x14ac:dyDescent="0.25">
      <c r="B275" t="s">
        <v>3091</v>
      </c>
      <c r="C275" t="s">
        <v>3072</v>
      </c>
    </row>
    <row r="276" spans="2:7" x14ac:dyDescent="0.25">
      <c r="B276" t="s">
        <v>3092</v>
      </c>
      <c r="C276" t="s">
        <v>618</v>
      </c>
    </row>
    <row r="277" spans="2:7" x14ac:dyDescent="0.25">
      <c r="B277" t="s">
        <v>3093</v>
      </c>
      <c r="C277" t="s">
        <v>1082</v>
      </c>
    </row>
    <row r="278" spans="2:7" x14ac:dyDescent="0.25">
      <c r="B278" t="s">
        <v>3094</v>
      </c>
    </row>
    <row r="280" spans="2:7" x14ac:dyDescent="0.25">
      <c r="B280" t="s">
        <v>3072</v>
      </c>
    </row>
    <row r="282" spans="2:7" x14ac:dyDescent="0.25">
      <c r="B282" t="s">
        <v>1240</v>
      </c>
      <c r="C282" t="s">
        <v>1239</v>
      </c>
      <c r="D282" t="s">
        <v>3114</v>
      </c>
      <c r="E282" t="s">
        <v>2733</v>
      </c>
      <c r="F282" t="s">
        <v>3114</v>
      </c>
      <c r="G282" t="s">
        <v>1240</v>
      </c>
    </row>
    <row r="283" spans="2:7" x14ac:dyDescent="0.25">
      <c r="B283" t="s">
        <v>3110</v>
      </c>
      <c r="C283" t="s">
        <v>3109</v>
      </c>
      <c r="D283" t="s">
        <v>3111</v>
      </c>
      <c r="E283" t="s">
        <v>3115</v>
      </c>
      <c r="F283" t="s">
        <v>3113</v>
      </c>
      <c r="G283" t="s">
        <v>3112</v>
      </c>
    </row>
    <row r="284" spans="2:7" x14ac:dyDescent="0.25">
      <c r="B284">
        <v>18</v>
      </c>
      <c r="C284">
        <v>10</v>
      </c>
      <c r="D284">
        <v>8</v>
      </c>
      <c r="E284">
        <v>11</v>
      </c>
      <c r="F284">
        <v>18</v>
      </c>
      <c r="G284">
        <v>11</v>
      </c>
    </row>
    <row r="285" spans="2:7" x14ac:dyDescent="0.25">
      <c r="B285">
        <v>18</v>
      </c>
      <c r="C285">
        <v>17</v>
      </c>
      <c r="D285">
        <v>20</v>
      </c>
      <c r="E285">
        <v>18</v>
      </c>
      <c r="F285">
        <v>16</v>
      </c>
      <c r="G285">
        <v>18</v>
      </c>
    </row>
    <row r="286" spans="2:7" x14ac:dyDescent="0.25">
      <c r="B286">
        <v>1</v>
      </c>
      <c r="C286">
        <v>18</v>
      </c>
      <c r="D286">
        <v>12</v>
      </c>
      <c r="E286">
        <v>18</v>
      </c>
      <c r="F286">
        <v>18</v>
      </c>
      <c r="G286">
        <v>18</v>
      </c>
    </row>
    <row r="287" spans="2:7" x14ac:dyDescent="0.25">
      <c r="B287">
        <v>10</v>
      </c>
      <c r="C287">
        <v>20</v>
      </c>
      <c r="D287">
        <v>13</v>
      </c>
      <c r="E287">
        <v>3</v>
      </c>
      <c r="F287">
        <v>3</v>
      </c>
      <c r="G287">
        <v>1</v>
      </c>
    </row>
    <row r="288" spans="2:7" x14ac:dyDescent="0.25">
      <c r="B288">
        <v>11</v>
      </c>
      <c r="C288">
        <v>10</v>
      </c>
      <c r="D288">
        <v>20</v>
      </c>
      <c r="E288">
        <v>10</v>
      </c>
      <c r="F288">
        <v>18</v>
      </c>
      <c r="G288">
        <v>10</v>
      </c>
    </row>
    <row r="289" spans="2:7" x14ac:dyDescent="0.25">
      <c r="B289">
        <v>18</v>
      </c>
      <c r="C289">
        <v>1</v>
      </c>
      <c r="D289">
        <v>1</v>
      </c>
      <c r="E289">
        <v>20</v>
      </c>
      <c r="F289">
        <v>3</v>
      </c>
      <c r="G289">
        <v>18</v>
      </c>
    </row>
    <row r="290" spans="2:7" x14ac:dyDescent="0.25">
      <c r="B290">
        <f t="shared" ref="B290:G290" si="6">SUM(B284:B289)</f>
        <v>76</v>
      </c>
      <c r="C290">
        <f t="shared" si="6"/>
        <v>76</v>
      </c>
      <c r="D290">
        <f t="shared" si="6"/>
        <v>74</v>
      </c>
      <c r="E290">
        <f t="shared" si="6"/>
        <v>80</v>
      </c>
      <c r="F290">
        <f t="shared" si="6"/>
        <v>76</v>
      </c>
      <c r="G290">
        <f t="shared" si="6"/>
        <v>76</v>
      </c>
    </row>
    <row r="292" spans="2:7" x14ac:dyDescent="0.25">
      <c r="B292" t="s">
        <v>3114</v>
      </c>
      <c r="C292" t="s">
        <v>3114</v>
      </c>
      <c r="D292" t="s">
        <v>2733</v>
      </c>
      <c r="E292" t="s">
        <v>3120</v>
      </c>
      <c r="F292" t="s">
        <v>1239</v>
      </c>
    </row>
    <row r="293" spans="2:7" x14ac:dyDescent="0.25">
      <c r="B293" t="s">
        <v>3118</v>
      </c>
      <c r="C293" t="s">
        <v>3116</v>
      </c>
      <c r="D293" t="s">
        <v>3117</v>
      </c>
      <c r="E293" t="s">
        <v>3122</v>
      </c>
      <c r="F293" t="s">
        <v>3121</v>
      </c>
      <c r="G293" t="s">
        <v>3123</v>
      </c>
    </row>
    <row r="294" spans="2:7" x14ac:dyDescent="0.25">
      <c r="B294">
        <v>8</v>
      </c>
      <c r="C294">
        <v>8</v>
      </c>
      <c r="D294">
        <v>8</v>
      </c>
      <c r="E294">
        <v>8</v>
      </c>
      <c r="F294">
        <v>10</v>
      </c>
      <c r="G294">
        <v>10</v>
      </c>
    </row>
    <row r="295" spans="2:7" x14ac:dyDescent="0.25">
      <c r="B295">
        <v>20</v>
      </c>
      <c r="C295">
        <v>20</v>
      </c>
      <c r="D295">
        <v>19</v>
      </c>
      <c r="E295">
        <v>19</v>
      </c>
      <c r="F295">
        <v>20</v>
      </c>
      <c r="G295">
        <v>20</v>
      </c>
    </row>
    <row r="296" spans="2:7" x14ac:dyDescent="0.25">
      <c r="B296">
        <v>12</v>
      </c>
      <c r="C296">
        <v>12</v>
      </c>
      <c r="D296">
        <v>11</v>
      </c>
      <c r="E296">
        <v>10</v>
      </c>
      <c r="F296">
        <v>10</v>
      </c>
      <c r="G296">
        <v>10</v>
      </c>
    </row>
    <row r="297" spans="2:7" x14ac:dyDescent="0.25">
      <c r="B297">
        <v>13</v>
      </c>
      <c r="C297">
        <v>13</v>
      </c>
      <c r="D297">
        <v>5</v>
      </c>
      <c r="E297">
        <v>13</v>
      </c>
      <c r="F297">
        <v>13</v>
      </c>
      <c r="G297">
        <v>5</v>
      </c>
    </row>
    <row r="298" spans="2:7" x14ac:dyDescent="0.25">
      <c r="B298">
        <v>20</v>
      </c>
      <c r="C298">
        <v>20</v>
      </c>
      <c r="D298">
        <v>17</v>
      </c>
      <c r="E298">
        <v>10</v>
      </c>
      <c r="F298">
        <v>20</v>
      </c>
      <c r="G298">
        <v>15</v>
      </c>
    </row>
    <row r="299" spans="2:7" x14ac:dyDescent="0.25">
      <c r="B299">
        <v>1</v>
      </c>
      <c r="C299">
        <v>1</v>
      </c>
      <c r="D299">
        <v>20</v>
      </c>
      <c r="E299">
        <v>20</v>
      </c>
      <c r="F299">
        <v>1</v>
      </c>
      <c r="G299">
        <v>20</v>
      </c>
    </row>
    <row r="300" spans="2:7" x14ac:dyDescent="0.25">
      <c r="B300">
        <f t="shared" ref="B300:G300" si="7">SUM(B294:B299)</f>
        <v>74</v>
      </c>
      <c r="C300">
        <f t="shared" si="7"/>
        <v>74</v>
      </c>
      <c r="D300">
        <f t="shared" si="7"/>
        <v>80</v>
      </c>
      <c r="E300">
        <f t="shared" si="7"/>
        <v>80</v>
      </c>
      <c r="F300">
        <f t="shared" si="7"/>
        <v>74</v>
      </c>
      <c r="G300">
        <f t="shared" si="7"/>
        <v>80</v>
      </c>
    </row>
    <row r="303" spans="2:7" x14ac:dyDescent="0.25">
      <c r="C303">
        <v>1</v>
      </c>
      <c r="D303">
        <v>11</v>
      </c>
      <c r="E303" t="s">
        <v>3583</v>
      </c>
      <c r="G303" t="s">
        <v>3584</v>
      </c>
    </row>
    <row r="304" spans="2:7" x14ac:dyDescent="0.25">
      <c r="C304">
        <v>20</v>
      </c>
      <c r="D304">
        <v>20</v>
      </c>
      <c r="E304" t="s">
        <v>3582</v>
      </c>
    </row>
    <row r="305" spans="2:26" x14ac:dyDescent="0.25">
      <c r="C305">
        <v>18</v>
      </c>
      <c r="D305">
        <v>10</v>
      </c>
      <c r="F305" t="s">
        <v>3150</v>
      </c>
      <c r="G305" t="s">
        <v>3586</v>
      </c>
      <c r="H305" t="s">
        <v>618</v>
      </c>
      <c r="I305" t="s">
        <v>1082</v>
      </c>
      <c r="J305" t="s">
        <v>3059</v>
      </c>
      <c r="K305" t="s">
        <v>3585</v>
      </c>
      <c r="L305" t="s">
        <v>618</v>
      </c>
      <c r="M305" t="s">
        <v>1807</v>
      </c>
      <c r="N305" t="s">
        <v>31</v>
      </c>
      <c r="O305" t="s">
        <v>617</v>
      </c>
      <c r="P305" t="s">
        <v>3528</v>
      </c>
    </row>
    <row r="306" spans="2:26" x14ac:dyDescent="0.25">
      <c r="C306">
        <v>14</v>
      </c>
      <c r="D306">
        <v>12</v>
      </c>
      <c r="E306" t="s">
        <v>212</v>
      </c>
      <c r="F306">
        <v>10</v>
      </c>
      <c r="G306">
        <v>10</v>
      </c>
      <c r="H306">
        <v>10</v>
      </c>
      <c r="I306">
        <v>10</v>
      </c>
      <c r="J306">
        <v>10</v>
      </c>
      <c r="K306">
        <v>10</v>
      </c>
      <c r="L306">
        <v>10</v>
      </c>
      <c r="M306">
        <v>10</v>
      </c>
      <c r="N306">
        <v>10</v>
      </c>
      <c r="O306">
        <v>10</v>
      </c>
      <c r="P306">
        <v>10</v>
      </c>
      <c r="Q306">
        <v>10</v>
      </c>
    </row>
    <row r="307" spans="2:26" x14ac:dyDescent="0.25">
      <c r="C307">
        <v>20</v>
      </c>
      <c r="D307">
        <v>20</v>
      </c>
      <c r="E307" t="s">
        <v>1241</v>
      </c>
      <c r="F307">
        <v>11</v>
      </c>
      <c r="G307">
        <v>7</v>
      </c>
      <c r="H307">
        <v>7</v>
      </c>
      <c r="I307">
        <v>7</v>
      </c>
      <c r="J307">
        <v>7</v>
      </c>
      <c r="K307">
        <v>7</v>
      </c>
      <c r="L307">
        <v>5</v>
      </c>
      <c r="M307">
        <v>7</v>
      </c>
      <c r="N307">
        <v>9</v>
      </c>
      <c r="O307">
        <v>8</v>
      </c>
      <c r="P307">
        <v>12</v>
      </c>
      <c r="Q307">
        <v>12</v>
      </c>
    </row>
    <row r="308" spans="2:26" x14ac:dyDescent="0.25">
      <c r="C308">
        <v>1</v>
      </c>
      <c r="D308">
        <v>1</v>
      </c>
      <c r="E308" t="s">
        <v>1244</v>
      </c>
      <c r="G308">
        <v>12</v>
      </c>
      <c r="I308">
        <v>12</v>
      </c>
      <c r="J308">
        <v>10</v>
      </c>
      <c r="N308">
        <v>10</v>
      </c>
      <c r="O308">
        <v>10</v>
      </c>
      <c r="P308">
        <v>5</v>
      </c>
      <c r="Q308">
        <v>15</v>
      </c>
    </row>
    <row r="309" spans="2:26" x14ac:dyDescent="0.25">
      <c r="C309">
        <f>SUM(C303:C308)</f>
        <v>74</v>
      </c>
      <c r="D309">
        <f>SUM(D303:D308)</f>
        <v>74</v>
      </c>
      <c r="E309" t="s">
        <v>922</v>
      </c>
      <c r="F309">
        <v>8</v>
      </c>
      <c r="G309">
        <v>7</v>
      </c>
      <c r="H309">
        <v>8</v>
      </c>
      <c r="I309">
        <v>7</v>
      </c>
      <c r="J309">
        <v>7</v>
      </c>
      <c r="K309">
        <v>7</v>
      </c>
      <c r="L309">
        <v>2</v>
      </c>
      <c r="M309">
        <v>8</v>
      </c>
      <c r="N309">
        <v>7</v>
      </c>
      <c r="O309">
        <v>7</v>
      </c>
      <c r="P309">
        <v>7</v>
      </c>
      <c r="Q309">
        <v>7</v>
      </c>
      <c r="R309" t="s">
        <v>617</v>
      </c>
      <c r="T309" t="s">
        <v>3585</v>
      </c>
      <c r="V309" t="s">
        <v>3059</v>
      </c>
    </row>
    <row r="310" spans="2:26" x14ac:dyDescent="0.25">
      <c r="E310" t="s">
        <v>637</v>
      </c>
      <c r="R310">
        <v>16</v>
      </c>
      <c r="S310">
        <f t="shared" ref="S310:S315" si="8">R310+2</f>
        <v>18</v>
      </c>
      <c r="T310">
        <v>8</v>
      </c>
      <c r="U310">
        <f t="shared" ref="U310:U315" si="9">T310+2</f>
        <v>10</v>
      </c>
      <c r="V310">
        <v>8</v>
      </c>
      <c r="W310">
        <f t="shared" ref="W310:W315" si="10">V310+2</f>
        <v>10</v>
      </c>
      <c r="Y310">
        <v>8</v>
      </c>
      <c r="Z310">
        <f t="shared" ref="Z310:Z315" si="11">Y310+2</f>
        <v>10</v>
      </c>
    </row>
    <row r="311" spans="2:26" x14ac:dyDescent="0.25">
      <c r="E311" t="s">
        <v>1541</v>
      </c>
      <c r="H311">
        <v>5</v>
      </c>
      <c r="I311">
        <v>5</v>
      </c>
      <c r="J311">
        <v>5</v>
      </c>
      <c r="K311">
        <v>5</v>
      </c>
      <c r="M311">
        <v>5</v>
      </c>
      <c r="N311">
        <v>5</v>
      </c>
      <c r="O311">
        <v>5</v>
      </c>
      <c r="R311">
        <v>20</v>
      </c>
      <c r="S311">
        <f t="shared" si="8"/>
        <v>22</v>
      </c>
      <c r="T311">
        <v>19</v>
      </c>
      <c r="U311">
        <f t="shared" si="9"/>
        <v>21</v>
      </c>
      <c r="V311">
        <v>20</v>
      </c>
      <c r="W311">
        <f t="shared" si="10"/>
        <v>22</v>
      </c>
      <c r="Y311">
        <v>20</v>
      </c>
      <c r="Z311">
        <f t="shared" si="11"/>
        <v>22</v>
      </c>
    </row>
    <row r="312" spans="2:26" x14ac:dyDescent="0.25">
      <c r="B312" t="s">
        <v>3587</v>
      </c>
      <c r="C312" t="s">
        <v>3589</v>
      </c>
      <c r="E312" t="s">
        <v>3119</v>
      </c>
      <c r="F312">
        <v>3</v>
      </c>
      <c r="H312">
        <v>5</v>
      </c>
      <c r="I312">
        <v>5</v>
      </c>
      <c r="J312">
        <v>5</v>
      </c>
      <c r="K312">
        <v>5</v>
      </c>
      <c r="M312">
        <v>5</v>
      </c>
      <c r="N312">
        <v>5</v>
      </c>
      <c r="O312">
        <v>5</v>
      </c>
      <c r="P312">
        <v>5</v>
      </c>
      <c r="Q312">
        <v>5</v>
      </c>
      <c r="R312">
        <v>14</v>
      </c>
      <c r="S312">
        <f t="shared" si="8"/>
        <v>16</v>
      </c>
      <c r="T312">
        <v>12</v>
      </c>
      <c r="U312">
        <f t="shared" si="9"/>
        <v>14</v>
      </c>
      <c r="V312">
        <v>10</v>
      </c>
      <c r="W312">
        <f t="shared" si="10"/>
        <v>12</v>
      </c>
      <c r="Y312">
        <v>1</v>
      </c>
      <c r="Z312">
        <f t="shared" si="11"/>
        <v>3</v>
      </c>
    </row>
    <row r="313" spans="2:26" x14ac:dyDescent="0.25">
      <c r="B313" t="s">
        <v>3588</v>
      </c>
      <c r="E313" t="s">
        <v>841</v>
      </c>
      <c r="H313">
        <v>4</v>
      </c>
      <c r="I313">
        <v>4</v>
      </c>
      <c r="J313">
        <v>4</v>
      </c>
      <c r="K313">
        <v>4</v>
      </c>
      <c r="L313">
        <v>4</v>
      </c>
      <c r="M313">
        <v>4</v>
      </c>
      <c r="N313">
        <v>4</v>
      </c>
      <c r="O313">
        <v>4</v>
      </c>
      <c r="P313">
        <v>4</v>
      </c>
      <c r="Q313">
        <v>4</v>
      </c>
      <c r="R313">
        <v>3</v>
      </c>
      <c r="S313">
        <f t="shared" si="8"/>
        <v>5</v>
      </c>
      <c r="T313">
        <v>11</v>
      </c>
      <c r="U313">
        <f t="shared" si="9"/>
        <v>13</v>
      </c>
      <c r="V313">
        <v>15</v>
      </c>
      <c r="W313">
        <f t="shared" si="10"/>
        <v>17</v>
      </c>
      <c r="Y313">
        <v>11</v>
      </c>
      <c r="Z313">
        <f t="shared" si="11"/>
        <v>13</v>
      </c>
    </row>
    <row r="314" spans="2:26" x14ac:dyDescent="0.25">
      <c r="E314" t="s">
        <v>3046</v>
      </c>
      <c r="H314">
        <v>5</v>
      </c>
      <c r="I314">
        <v>5</v>
      </c>
      <c r="J314">
        <v>5</v>
      </c>
      <c r="K314">
        <v>5</v>
      </c>
      <c r="M314">
        <v>5</v>
      </c>
      <c r="N314">
        <v>5</v>
      </c>
      <c r="O314">
        <v>5</v>
      </c>
      <c r="P314">
        <v>5</v>
      </c>
      <c r="Q314">
        <v>5</v>
      </c>
      <c r="R314">
        <v>20</v>
      </c>
      <c r="S314">
        <f t="shared" si="8"/>
        <v>22</v>
      </c>
      <c r="T314">
        <v>8</v>
      </c>
      <c r="U314">
        <f t="shared" si="9"/>
        <v>10</v>
      </c>
      <c r="V314">
        <v>20</v>
      </c>
      <c r="W314">
        <f t="shared" si="10"/>
        <v>22</v>
      </c>
      <c r="Y314">
        <v>18</v>
      </c>
      <c r="Z314">
        <f t="shared" si="11"/>
        <v>20</v>
      </c>
    </row>
    <row r="315" spans="2:26" x14ac:dyDescent="0.25">
      <c r="B315">
        <v>12</v>
      </c>
      <c r="C315">
        <v>9</v>
      </c>
      <c r="D315">
        <v>2</v>
      </c>
      <c r="E315" t="s">
        <v>3058</v>
      </c>
      <c r="Q315">
        <v>3</v>
      </c>
      <c r="R315">
        <v>1</v>
      </c>
      <c r="S315">
        <f t="shared" si="8"/>
        <v>3</v>
      </c>
      <c r="T315">
        <v>20</v>
      </c>
      <c r="U315">
        <f t="shared" si="9"/>
        <v>22</v>
      </c>
      <c r="V315">
        <v>1</v>
      </c>
      <c r="W315">
        <f t="shared" si="10"/>
        <v>3</v>
      </c>
      <c r="Y315">
        <v>20</v>
      </c>
      <c r="Z315">
        <f t="shared" si="11"/>
        <v>22</v>
      </c>
    </row>
    <row r="316" spans="2:26" x14ac:dyDescent="0.25">
      <c r="B316">
        <v>19</v>
      </c>
      <c r="C316">
        <v>20</v>
      </c>
      <c r="D316">
        <v>3</v>
      </c>
      <c r="E316" t="s">
        <v>2967</v>
      </c>
      <c r="H316">
        <v>1</v>
      </c>
      <c r="I316">
        <v>1</v>
      </c>
      <c r="J316">
        <v>1</v>
      </c>
      <c r="K316">
        <v>1</v>
      </c>
      <c r="L316">
        <v>1</v>
      </c>
      <c r="M316">
        <v>1</v>
      </c>
      <c r="N316">
        <v>1</v>
      </c>
      <c r="O316">
        <v>1</v>
      </c>
      <c r="P316">
        <v>1</v>
      </c>
      <c r="Q316">
        <v>1</v>
      </c>
      <c r="R316">
        <f t="shared" ref="R316:W316" si="12">SUM(R310:R315)</f>
        <v>74</v>
      </c>
      <c r="S316">
        <f t="shared" si="12"/>
        <v>86</v>
      </c>
      <c r="T316">
        <f t="shared" si="12"/>
        <v>78</v>
      </c>
      <c r="U316">
        <f t="shared" si="12"/>
        <v>90</v>
      </c>
      <c r="V316">
        <f t="shared" si="12"/>
        <v>74</v>
      </c>
      <c r="W316">
        <f t="shared" si="12"/>
        <v>86</v>
      </c>
      <c r="Y316">
        <f>SUM(Y310:Y315)</f>
        <v>78</v>
      </c>
      <c r="Z316">
        <f>SUM(Z310:Z315)</f>
        <v>90</v>
      </c>
    </row>
    <row r="317" spans="2:26" x14ac:dyDescent="0.25">
      <c r="B317">
        <v>12</v>
      </c>
      <c r="C317">
        <v>16</v>
      </c>
      <c r="D317">
        <v>4</v>
      </c>
      <c r="E317" t="s">
        <v>3059</v>
      </c>
      <c r="F317">
        <v>4</v>
      </c>
      <c r="G317">
        <v>4</v>
      </c>
      <c r="H317">
        <v>4</v>
      </c>
      <c r="I317">
        <v>4</v>
      </c>
      <c r="J317">
        <v>4</v>
      </c>
      <c r="L317">
        <v>4</v>
      </c>
      <c r="N317">
        <v>4</v>
      </c>
      <c r="O317">
        <v>4</v>
      </c>
      <c r="Q317">
        <v>4</v>
      </c>
    </row>
    <row r="318" spans="2:26" x14ac:dyDescent="0.25">
      <c r="B318">
        <v>5</v>
      </c>
      <c r="C318">
        <v>7</v>
      </c>
      <c r="D318">
        <v>5</v>
      </c>
      <c r="E318" t="s">
        <v>811</v>
      </c>
      <c r="H318">
        <v>5</v>
      </c>
      <c r="I318">
        <v>5</v>
      </c>
      <c r="L318">
        <v>3</v>
      </c>
      <c r="O318">
        <v>4</v>
      </c>
      <c r="T318">
        <f>10+4+4+10</f>
        <v>28</v>
      </c>
      <c r="Y318">
        <v>14</v>
      </c>
      <c r="Z318">
        <f t="shared" ref="Z318:Z323" si="13">Y318+2</f>
        <v>16</v>
      </c>
    </row>
    <row r="319" spans="2:26" x14ac:dyDescent="0.25">
      <c r="B319">
        <v>18</v>
      </c>
      <c r="C319">
        <v>6</v>
      </c>
      <c r="D319">
        <v>6</v>
      </c>
      <c r="E319" t="s">
        <v>1082</v>
      </c>
      <c r="P319">
        <v>10</v>
      </c>
      <c r="Q319">
        <v>10</v>
      </c>
      <c r="U319">
        <f>25*7+7*5</f>
        <v>210</v>
      </c>
      <c r="Y319">
        <v>20</v>
      </c>
      <c r="Z319">
        <f t="shared" si="13"/>
        <v>22</v>
      </c>
    </row>
    <row r="320" spans="2:26" x14ac:dyDescent="0.25">
      <c r="B320">
        <v>12</v>
      </c>
      <c r="C320">
        <v>20</v>
      </c>
      <c r="D320">
        <v>6</v>
      </c>
      <c r="E320" t="s">
        <v>3066</v>
      </c>
      <c r="F320">
        <v>5</v>
      </c>
      <c r="G320">
        <v>5</v>
      </c>
      <c r="H320">
        <v>5</v>
      </c>
      <c r="I320">
        <v>5</v>
      </c>
      <c r="J320">
        <v>5</v>
      </c>
      <c r="L320">
        <v>5</v>
      </c>
      <c r="M320">
        <v>5</v>
      </c>
      <c r="N320">
        <v>5</v>
      </c>
      <c r="P320">
        <v>5</v>
      </c>
      <c r="Q320">
        <v>5</v>
      </c>
      <c r="U320">
        <f>3.5+30*2+3.5</f>
        <v>67</v>
      </c>
      <c r="Y320">
        <v>3</v>
      </c>
      <c r="Z320">
        <f t="shared" si="13"/>
        <v>5</v>
      </c>
    </row>
    <row r="321" spans="2:26" x14ac:dyDescent="0.25">
      <c r="B321">
        <f>SUM(B315:B320)</f>
        <v>78</v>
      </c>
      <c r="C321">
        <f>SUM(C315:C320)</f>
        <v>78</v>
      </c>
      <c r="D321">
        <f>AVERAGE(D315:D320)</f>
        <v>4.333333333333333</v>
      </c>
      <c r="E321" t="s">
        <v>830</v>
      </c>
      <c r="F321">
        <v>6</v>
      </c>
      <c r="H321">
        <v>6</v>
      </c>
      <c r="L321">
        <v>6</v>
      </c>
      <c r="M321">
        <v>5</v>
      </c>
      <c r="S321">
        <f>7+14+4+1+5+5</f>
        <v>36</v>
      </c>
      <c r="T321">
        <f>(3.5*3+4+3.5*4*3+22)</f>
        <v>78.5</v>
      </c>
      <c r="Y321">
        <v>11</v>
      </c>
      <c r="Z321">
        <f t="shared" si="13"/>
        <v>13</v>
      </c>
    </row>
    <row r="322" spans="2:26" x14ac:dyDescent="0.25">
      <c r="D322">
        <f>D321*3+4+1+2+2</f>
        <v>22</v>
      </c>
      <c r="E322" t="s">
        <v>3098</v>
      </c>
      <c r="H322">
        <v>10</v>
      </c>
      <c r="I322">
        <v>10</v>
      </c>
      <c r="L322">
        <v>10</v>
      </c>
      <c r="M322">
        <v>10</v>
      </c>
      <c r="N322">
        <v>10</v>
      </c>
      <c r="O322">
        <v>10</v>
      </c>
      <c r="P322">
        <v>10</v>
      </c>
      <c r="Q322">
        <v>10</v>
      </c>
      <c r="S322">
        <f>S321*4</f>
        <v>144</v>
      </c>
      <c r="T322">
        <f>T321*4</f>
        <v>314</v>
      </c>
      <c r="Y322">
        <v>10</v>
      </c>
      <c r="Z322">
        <f t="shared" si="13"/>
        <v>12</v>
      </c>
    </row>
    <row r="323" spans="2:26" x14ac:dyDescent="0.25">
      <c r="Y323">
        <v>20</v>
      </c>
      <c r="Z323">
        <f t="shared" si="13"/>
        <v>22</v>
      </c>
    </row>
    <row r="324" spans="2:26" x14ac:dyDescent="0.25">
      <c r="E324">
        <f>3.5*3+4+22+(3.5*3)*1.2*4</f>
        <v>86.9</v>
      </c>
      <c r="F324">
        <f t="shared" ref="F324:Q324" si="14">SUM(F306:F323)</f>
        <v>47</v>
      </c>
      <c r="G324">
        <f t="shared" si="14"/>
        <v>45</v>
      </c>
      <c r="H324">
        <f t="shared" si="14"/>
        <v>75</v>
      </c>
      <c r="I324">
        <f t="shared" si="14"/>
        <v>80</v>
      </c>
      <c r="J324">
        <f t="shared" si="14"/>
        <v>63</v>
      </c>
      <c r="K324">
        <f t="shared" si="14"/>
        <v>44</v>
      </c>
      <c r="L324">
        <f t="shared" si="14"/>
        <v>50</v>
      </c>
      <c r="M324">
        <f t="shared" si="14"/>
        <v>65</v>
      </c>
      <c r="N324">
        <f t="shared" si="14"/>
        <v>75</v>
      </c>
      <c r="O324">
        <f t="shared" si="14"/>
        <v>73</v>
      </c>
      <c r="P324">
        <f t="shared" si="14"/>
        <v>74</v>
      </c>
      <c r="Q324">
        <f t="shared" si="14"/>
        <v>91</v>
      </c>
      <c r="Y324">
        <f>SUM(Y318:Y323)</f>
        <v>78</v>
      </c>
      <c r="Z324">
        <f>SUM(Z318:Z323)</f>
        <v>90</v>
      </c>
    </row>
    <row r="325" spans="2:26" x14ac:dyDescent="0.25">
      <c r="C325">
        <f>3.5+10+1+2+2+2</f>
        <v>20.5</v>
      </c>
    </row>
    <row r="326" spans="2:26" x14ac:dyDescent="0.25">
      <c r="C326">
        <f>C325*1.4</f>
        <v>28.7</v>
      </c>
      <c r="H326" t="s">
        <v>3592</v>
      </c>
      <c r="I326" t="s">
        <v>3598</v>
      </c>
    </row>
    <row r="327" spans="2:26" x14ac:dyDescent="0.25">
      <c r="C327">
        <f>C326*5</f>
        <v>143.5</v>
      </c>
    </row>
    <row r="328" spans="2:26" x14ac:dyDescent="0.25">
      <c r="H328" t="s">
        <v>3593</v>
      </c>
      <c r="I328" t="s">
        <v>3599</v>
      </c>
      <c r="Q328">
        <f>2*(7+11)</f>
        <v>36</v>
      </c>
      <c r="R328">
        <f>Q328*2-Q329</f>
        <v>26</v>
      </c>
    </row>
    <row r="329" spans="2:26" x14ac:dyDescent="0.25">
      <c r="H329" t="s">
        <v>3594</v>
      </c>
      <c r="I329" t="s">
        <v>3600</v>
      </c>
      <c r="Q329">
        <f>16+4+11+15</f>
        <v>46</v>
      </c>
    </row>
    <row r="330" spans="2:26" x14ac:dyDescent="0.25">
      <c r="H330" t="s">
        <v>1022</v>
      </c>
      <c r="I330" t="s">
        <v>3601</v>
      </c>
    </row>
    <row r="331" spans="2:26" x14ac:dyDescent="0.25">
      <c r="H331" t="s">
        <v>3602</v>
      </c>
      <c r="I331" t="s">
        <v>3603</v>
      </c>
    </row>
    <row r="332" spans="2:26" x14ac:dyDescent="0.25">
      <c r="H332" t="s">
        <v>3595</v>
      </c>
      <c r="I332" t="s">
        <v>3604</v>
      </c>
    </row>
    <row r="333" spans="2:26" x14ac:dyDescent="0.25">
      <c r="H333" t="s">
        <v>3596</v>
      </c>
      <c r="I333" t="s">
        <v>3605</v>
      </c>
    </row>
    <row r="334" spans="2:26" x14ac:dyDescent="0.25">
      <c r="B334" t="s">
        <v>839</v>
      </c>
      <c r="C334" t="s">
        <v>849</v>
      </c>
      <c r="D334" t="s">
        <v>3003</v>
      </c>
      <c r="E334" t="s">
        <v>968</v>
      </c>
      <c r="F334" t="s">
        <v>2227</v>
      </c>
      <c r="G334" t="s">
        <v>963</v>
      </c>
      <c r="H334" t="s">
        <v>3597</v>
      </c>
      <c r="I334" t="s">
        <v>3606</v>
      </c>
    </row>
    <row r="335" spans="2:26" x14ac:dyDescent="0.25">
      <c r="B335" t="s">
        <v>417</v>
      </c>
      <c r="C335" t="s">
        <v>2332</v>
      </c>
      <c r="D335" t="s">
        <v>2332</v>
      </c>
      <c r="E335" t="s">
        <v>3590</v>
      </c>
      <c r="F335" t="s">
        <v>3590</v>
      </c>
      <c r="G335" t="s">
        <v>3591</v>
      </c>
    </row>
    <row r="336" spans="2:26" x14ac:dyDescent="0.25">
      <c r="B336">
        <f>20*3.5</f>
        <v>70</v>
      </c>
      <c r="C336">
        <f>15*3.5</f>
        <v>52.5</v>
      </c>
      <c r="D336">
        <f>15*3.5</f>
        <v>52.5</v>
      </c>
      <c r="E336">
        <f>20*4.5</f>
        <v>90</v>
      </c>
      <c r="F336">
        <f>20*4.5</f>
        <v>90</v>
      </c>
      <c r="G336">
        <f>3.5*24</f>
        <v>84</v>
      </c>
      <c r="L336">
        <f>15*3.5*0.5</f>
        <v>26.25</v>
      </c>
    </row>
    <row r="337" spans="2:14" x14ac:dyDescent="0.25">
      <c r="B337">
        <f t="shared" ref="B337:G337" si="15">B336*6</f>
        <v>420</v>
      </c>
      <c r="C337">
        <f t="shared" si="15"/>
        <v>315</v>
      </c>
      <c r="D337">
        <f t="shared" si="15"/>
        <v>315</v>
      </c>
      <c r="E337">
        <f t="shared" si="15"/>
        <v>540</v>
      </c>
      <c r="F337">
        <f t="shared" si="15"/>
        <v>540</v>
      </c>
      <c r="G337">
        <f t="shared" si="15"/>
        <v>504</v>
      </c>
      <c r="L337">
        <f>L336*5</f>
        <v>131.25</v>
      </c>
    </row>
    <row r="338" spans="2:14" x14ac:dyDescent="0.25">
      <c r="B338">
        <f t="shared" ref="B338:G338" si="16">B337/3</f>
        <v>140</v>
      </c>
      <c r="C338">
        <f t="shared" si="16"/>
        <v>105</v>
      </c>
      <c r="D338">
        <f t="shared" si="16"/>
        <v>105</v>
      </c>
      <c r="E338">
        <f t="shared" si="16"/>
        <v>180</v>
      </c>
      <c r="F338">
        <f t="shared" si="16"/>
        <v>180</v>
      </c>
      <c r="G338">
        <f t="shared" si="16"/>
        <v>168</v>
      </c>
    </row>
    <row r="339" spans="2:14" x14ac:dyDescent="0.25">
      <c r="M339">
        <f>10+9+4+10</f>
        <v>33</v>
      </c>
    </row>
    <row r="340" spans="2:14" x14ac:dyDescent="0.25">
      <c r="M340">
        <f>1575*5</f>
        <v>7875</v>
      </c>
      <c r="N340">
        <f>20*M340</f>
        <v>157500</v>
      </c>
    </row>
    <row r="342" spans="2:14" x14ac:dyDescent="0.25">
      <c r="B342" t="s">
        <v>1849</v>
      </c>
      <c r="C342" t="s">
        <v>3059</v>
      </c>
      <c r="D342" t="s">
        <v>3585</v>
      </c>
      <c r="E342" t="s">
        <v>1848</v>
      </c>
      <c r="F342" t="s">
        <v>1848</v>
      </c>
      <c r="G342" t="s">
        <v>1848</v>
      </c>
      <c r="H342" t="e">
        <f>SUM(#REF!)</f>
        <v>#REF!</v>
      </c>
      <c r="I342" t="e">
        <f>SUM(#REF!)</f>
        <v>#REF!</v>
      </c>
    </row>
    <row r="343" spans="2:14" x14ac:dyDescent="0.25">
      <c r="B343" t="s">
        <v>512</v>
      </c>
      <c r="C343" t="s">
        <v>1781</v>
      </c>
      <c r="D343" t="s">
        <v>619</v>
      </c>
      <c r="E343" t="s">
        <v>1807</v>
      </c>
      <c r="F343" t="s">
        <v>618</v>
      </c>
      <c r="G343" t="s">
        <v>617</v>
      </c>
    </row>
    <row r="344" spans="2:14" x14ac:dyDescent="0.25">
      <c r="B344">
        <v>18</v>
      </c>
      <c r="C344">
        <v>16</v>
      </c>
      <c r="D344">
        <v>18</v>
      </c>
      <c r="E344">
        <v>13</v>
      </c>
      <c r="F344">
        <v>16</v>
      </c>
      <c r="G344">
        <v>18</v>
      </c>
      <c r="H344">
        <v>10</v>
      </c>
      <c r="I344">
        <f t="shared" ref="I344:I349" si="17">H344+10</f>
        <v>20</v>
      </c>
      <c r="J344">
        <v>20</v>
      </c>
      <c r="K344">
        <f>J344+6</f>
        <v>26</v>
      </c>
    </row>
    <row r="345" spans="2:14" x14ac:dyDescent="0.25">
      <c r="B345">
        <v>18</v>
      </c>
      <c r="C345">
        <v>20</v>
      </c>
      <c r="D345">
        <v>20</v>
      </c>
      <c r="E345">
        <v>16</v>
      </c>
      <c r="F345">
        <v>18</v>
      </c>
      <c r="G345">
        <v>18</v>
      </c>
      <c r="H345">
        <v>19</v>
      </c>
      <c r="I345">
        <f t="shared" si="17"/>
        <v>29</v>
      </c>
      <c r="J345">
        <v>29</v>
      </c>
      <c r="K345">
        <f>J345+5</f>
        <v>34</v>
      </c>
    </row>
    <row r="346" spans="2:14" x14ac:dyDescent="0.25">
      <c r="B346">
        <v>1</v>
      </c>
      <c r="C346">
        <v>3</v>
      </c>
      <c r="D346">
        <v>1</v>
      </c>
      <c r="E346">
        <v>16</v>
      </c>
      <c r="F346">
        <v>18</v>
      </c>
      <c r="G346">
        <v>16</v>
      </c>
      <c r="H346">
        <v>10</v>
      </c>
      <c r="I346">
        <f t="shared" si="17"/>
        <v>20</v>
      </c>
      <c r="J346">
        <v>20</v>
      </c>
      <c r="K346">
        <v>20</v>
      </c>
    </row>
    <row r="347" spans="2:14" x14ac:dyDescent="0.25">
      <c r="B347">
        <v>3</v>
      </c>
      <c r="C347">
        <v>18</v>
      </c>
      <c r="D347">
        <v>18</v>
      </c>
      <c r="E347">
        <v>3</v>
      </c>
      <c r="F347">
        <v>3</v>
      </c>
      <c r="G347">
        <v>3</v>
      </c>
      <c r="H347">
        <v>13</v>
      </c>
      <c r="I347">
        <f t="shared" si="17"/>
        <v>23</v>
      </c>
      <c r="J347">
        <v>23</v>
      </c>
      <c r="K347">
        <v>23</v>
      </c>
    </row>
    <row r="348" spans="2:14" x14ac:dyDescent="0.25">
      <c r="B348">
        <v>18</v>
      </c>
      <c r="C348">
        <v>16</v>
      </c>
      <c r="D348">
        <v>18</v>
      </c>
      <c r="E348">
        <v>10</v>
      </c>
      <c r="F348">
        <v>18</v>
      </c>
      <c r="G348">
        <v>18</v>
      </c>
      <c r="H348">
        <v>10</v>
      </c>
      <c r="I348">
        <f t="shared" si="17"/>
        <v>20</v>
      </c>
      <c r="J348">
        <v>20</v>
      </c>
      <c r="K348">
        <v>20</v>
      </c>
    </row>
    <row r="349" spans="2:14" x14ac:dyDescent="0.25">
      <c r="B349">
        <v>18</v>
      </c>
      <c r="C349">
        <v>1</v>
      </c>
      <c r="D349">
        <v>5</v>
      </c>
      <c r="E349">
        <v>18</v>
      </c>
      <c r="F349">
        <v>3</v>
      </c>
      <c r="G349">
        <v>3</v>
      </c>
      <c r="H349">
        <v>18</v>
      </c>
      <c r="I349">
        <f t="shared" si="17"/>
        <v>28</v>
      </c>
      <c r="J349">
        <f>I349+7</f>
        <v>35</v>
      </c>
      <c r="K349">
        <f>J349+5</f>
        <v>40</v>
      </c>
    </row>
    <row r="350" spans="2:14" x14ac:dyDescent="0.25">
      <c r="B350">
        <f t="shared" ref="B350:I350" si="18">SUM(B344:B349)</f>
        <v>76</v>
      </c>
      <c r="C350">
        <f t="shared" si="18"/>
        <v>74</v>
      </c>
      <c r="D350">
        <f t="shared" si="18"/>
        <v>80</v>
      </c>
      <c r="E350">
        <f t="shared" si="18"/>
        <v>76</v>
      </c>
      <c r="F350">
        <f t="shared" si="18"/>
        <v>76</v>
      </c>
      <c r="G350">
        <f t="shared" si="18"/>
        <v>76</v>
      </c>
      <c r="H350">
        <f t="shared" si="18"/>
        <v>80</v>
      </c>
      <c r="I350">
        <f t="shared" si="18"/>
        <v>140</v>
      </c>
    </row>
    <row r="353" spans="2:17" x14ac:dyDescent="0.25">
      <c r="B353" t="s">
        <v>1546</v>
      </c>
    </row>
    <row r="354" spans="2:17" x14ac:dyDescent="0.25">
      <c r="B354">
        <v>1</v>
      </c>
      <c r="C354">
        <f t="shared" ref="C354:C363" si="19">(B354*5+1)/6</f>
        <v>1</v>
      </c>
      <c r="D354">
        <f>(C354*4+2)/6</f>
        <v>1</v>
      </c>
      <c r="E354">
        <f>(D354*3+3)/6</f>
        <v>1</v>
      </c>
      <c r="F354">
        <f>(E354*2+4)/6</f>
        <v>1</v>
      </c>
      <c r="G354">
        <f>(F354*1+5)/6</f>
        <v>1</v>
      </c>
    </row>
    <row r="355" spans="2:17" x14ac:dyDescent="0.25">
      <c r="B355">
        <v>4</v>
      </c>
      <c r="C355">
        <f t="shared" si="19"/>
        <v>3.5</v>
      </c>
      <c r="D355">
        <f t="shared" ref="D355:D363" si="20">(B355*4+2)/6</f>
        <v>3</v>
      </c>
      <c r="E355">
        <f t="shared" ref="E355:E363" si="21">(B355*3+3)/6</f>
        <v>2.5</v>
      </c>
      <c r="F355">
        <f t="shared" ref="F355:F363" si="22">(B355*2+4)/6</f>
        <v>2</v>
      </c>
      <c r="G355">
        <f t="shared" ref="G355:G363" si="23">(B355*1+5)/6</f>
        <v>1.5</v>
      </c>
    </row>
    <row r="356" spans="2:17" x14ac:dyDescent="0.25">
      <c r="B356">
        <v>5</v>
      </c>
      <c r="C356">
        <f t="shared" si="19"/>
        <v>4.333333333333333</v>
      </c>
      <c r="D356">
        <f t="shared" si="20"/>
        <v>3.6666666666666665</v>
      </c>
      <c r="E356">
        <f t="shared" si="21"/>
        <v>3</v>
      </c>
      <c r="F356">
        <f t="shared" si="22"/>
        <v>2.3333333333333335</v>
      </c>
      <c r="G356">
        <f t="shared" si="23"/>
        <v>1.6666666666666667</v>
      </c>
    </row>
    <row r="357" spans="2:17" x14ac:dyDescent="0.25">
      <c r="B357">
        <v>6</v>
      </c>
      <c r="C357">
        <f t="shared" si="19"/>
        <v>5.166666666666667</v>
      </c>
      <c r="D357">
        <f t="shared" si="20"/>
        <v>4.333333333333333</v>
      </c>
      <c r="E357">
        <f t="shared" si="21"/>
        <v>3.5</v>
      </c>
      <c r="F357">
        <f t="shared" si="22"/>
        <v>2.6666666666666665</v>
      </c>
      <c r="G357">
        <f t="shared" si="23"/>
        <v>1.8333333333333333</v>
      </c>
    </row>
    <row r="358" spans="2:17" x14ac:dyDescent="0.25">
      <c r="B358">
        <v>8</v>
      </c>
      <c r="C358">
        <f t="shared" si="19"/>
        <v>6.833333333333333</v>
      </c>
      <c r="D358">
        <f t="shared" si="20"/>
        <v>5.666666666666667</v>
      </c>
      <c r="E358">
        <f t="shared" si="21"/>
        <v>4.5</v>
      </c>
      <c r="F358">
        <f t="shared" si="22"/>
        <v>3.3333333333333335</v>
      </c>
      <c r="G358">
        <f t="shared" si="23"/>
        <v>2.1666666666666665</v>
      </c>
    </row>
    <row r="359" spans="2:17" x14ac:dyDescent="0.25">
      <c r="B359">
        <v>10</v>
      </c>
      <c r="C359">
        <f t="shared" si="19"/>
        <v>8.5</v>
      </c>
      <c r="D359">
        <f t="shared" si="20"/>
        <v>7</v>
      </c>
      <c r="E359">
        <f t="shared" si="21"/>
        <v>5.5</v>
      </c>
      <c r="F359">
        <f t="shared" si="22"/>
        <v>4</v>
      </c>
      <c r="G359">
        <f t="shared" si="23"/>
        <v>2.5</v>
      </c>
    </row>
    <row r="360" spans="2:17" x14ac:dyDescent="0.25">
      <c r="B360">
        <v>12</v>
      </c>
      <c r="C360">
        <f t="shared" si="19"/>
        <v>10.166666666666666</v>
      </c>
      <c r="D360">
        <f t="shared" si="20"/>
        <v>8.3333333333333339</v>
      </c>
      <c r="E360">
        <f t="shared" si="21"/>
        <v>6.5</v>
      </c>
      <c r="F360">
        <f t="shared" si="22"/>
        <v>4.666666666666667</v>
      </c>
      <c r="G360">
        <f t="shared" si="23"/>
        <v>2.8333333333333335</v>
      </c>
      <c r="N360">
        <v>17</v>
      </c>
    </row>
    <row r="361" spans="2:17" x14ac:dyDescent="0.25">
      <c r="B361">
        <v>14</v>
      </c>
      <c r="C361">
        <f t="shared" si="19"/>
        <v>11.833333333333334</v>
      </c>
      <c r="D361">
        <f t="shared" si="20"/>
        <v>9.6666666666666661</v>
      </c>
      <c r="E361">
        <f t="shared" si="21"/>
        <v>7.5</v>
      </c>
      <c r="F361">
        <f t="shared" si="22"/>
        <v>5.333333333333333</v>
      </c>
      <c r="G361">
        <f t="shared" si="23"/>
        <v>3.1666666666666665</v>
      </c>
      <c r="N361">
        <v>19</v>
      </c>
    </row>
    <row r="362" spans="2:17" x14ac:dyDescent="0.25">
      <c r="B362">
        <v>16</v>
      </c>
      <c r="C362">
        <f t="shared" si="19"/>
        <v>13.5</v>
      </c>
      <c r="D362">
        <f t="shared" si="20"/>
        <v>11</v>
      </c>
      <c r="E362">
        <f t="shared" si="21"/>
        <v>8.5</v>
      </c>
      <c r="F362">
        <f t="shared" si="22"/>
        <v>6</v>
      </c>
      <c r="G362">
        <f t="shared" si="23"/>
        <v>3.5</v>
      </c>
      <c r="N362">
        <v>21</v>
      </c>
    </row>
    <row r="363" spans="2:17" x14ac:dyDescent="0.25">
      <c r="B363">
        <v>18</v>
      </c>
      <c r="C363">
        <f t="shared" si="19"/>
        <v>15.166666666666666</v>
      </c>
      <c r="D363">
        <f t="shared" si="20"/>
        <v>12.333333333333334</v>
      </c>
      <c r="E363">
        <f t="shared" si="21"/>
        <v>9.5</v>
      </c>
      <c r="F363">
        <f t="shared" si="22"/>
        <v>6.666666666666667</v>
      </c>
      <c r="G363">
        <f t="shared" si="23"/>
        <v>3.8333333333333335</v>
      </c>
    </row>
    <row r="364" spans="2:17" x14ac:dyDescent="0.25">
      <c r="I364" t="s">
        <v>3059</v>
      </c>
      <c r="K364" t="s">
        <v>3585</v>
      </c>
      <c r="M364" t="s">
        <v>3059</v>
      </c>
      <c r="O364" t="s">
        <v>3059</v>
      </c>
      <c r="Q364" t="s">
        <v>3585</v>
      </c>
    </row>
    <row r="365" spans="2:17" x14ac:dyDescent="0.25">
      <c r="B365">
        <v>1</v>
      </c>
      <c r="C365">
        <f>(B365*5+1)/6</f>
        <v>1</v>
      </c>
      <c r="D365">
        <f>(C365*4+2)/6</f>
        <v>1</v>
      </c>
      <c r="E365">
        <v>1</v>
      </c>
      <c r="F365">
        <v>1</v>
      </c>
      <c r="G365">
        <v>1</v>
      </c>
      <c r="I365" t="s">
        <v>3609</v>
      </c>
      <c r="K365" t="s">
        <v>3613</v>
      </c>
      <c r="M365" t="s">
        <v>3618</v>
      </c>
      <c r="O365" t="s">
        <v>3623</v>
      </c>
      <c r="Q365" t="s">
        <v>3619</v>
      </c>
    </row>
    <row r="366" spans="2:17" x14ac:dyDescent="0.25">
      <c r="B366">
        <v>4</v>
      </c>
      <c r="C366">
        <v>3</v>
      </c>
      <c r="D366">
        <v>3</v>
      </c>
      <c r="E366">
        <v>2</v>
      </c>
      <c r="F366">
        <v>2</v>
      </c>
      <c r="G366">
        <v>1</v>
      </c>
      <c r="I366" t="s">
        <v>3610</v>
      </c>
      <c r="K366" t="s">
        <v>3617</v>
      </c>
      <c r="M366" t="s">
        <v>3621</v>
      </c>
      <c r="O366" t="s">
        <v>3622</v>
      </c>
      <c r="Q366" t="s">
        <v>3094</v>
      </c>
    </row>
    <row r="367" spans="2:17" x14ac:dyDescent="0.25">
      <c r="B367">
        <v>5</v>
      </c>
      <c r="C367">
        <v>4</v>
      </c>
      <c r="D367">
        <v>3</v>
      </c>
      <c r="E367">
        <v>3</v>
      </c>
      <c r="F367">
        <v>2</v>
      </c>
      <c r="G367">
        <v>1</v>
      </c>
      <c r="I367" t="s">
        <v>3611</v>
      </c>
      <c r="K367" t="s">
        <v>3616</v>
      </c>
      <c r="M367" t="s">
        <v>3617</v>
      </c>
      <c r="O367" t="s">
        <v>3615</v>
      </c>
      <c r="Q367" t="s">
        <v>3620</v>
      </c>
    </row>
    <row r="368" spans="2:17" x14ac:dyDescent="0.25">
      <c r="B368">
        <v>6</v>
      </c>
      <c r="C368">
        <v>5</v>
      </c>
      <c r="D368">
        <v>4</v>
      </c>
      <c r="E368">
        <v>3</v>
      </c>
      <c r="F368">
        <v>2</v>
      </c>
      <c r="G368">
        <v>1</v>
      </c>
      <c r="I368" t="s">
        <v>3612</v>
      </c>
      <c r="K368" t="s">
        <v>3612</v>
      </c>
      <c r="M368" t="s">
        <v>3614</v>
      </c>
      <c r="O368" t="s">
        <v>3624</v>
      </c>
    </row>
    <row r="369" spans="2:19" x14ac:dyDescent="0.25">
      <c r="B369">
        <v>8</v>
      </c>
      <c r="C369">
        <v>6</v>
      </c>
      <c r="D369">
        <v>5</v>
      </c>
      <c r="E369">
        <v>4</v>
      </c>
      <c r="F369">
        <v>3</v>
      </c>
      <c r="G369">
        <v>2</v>
      </c>
      <c r="M369" t="s">
        <v>3615</v>
      </c>
      <c r="O369" t="s">
        <v>3614</v>
      </c>
    </row>
    <row r="370" spans="2:19" x14ac:dyDescent="0.25">
      <c r="B370">
        <v>10</v>
      </c>
      <c r="C370">
        <v>8</v>
      </c>
      <c r="D370">
        <v>7</v>
      </c>
      <c r="E370">
        <v>5</v>
      </c>
      <c r="F370">
        <v>4</v>
      </c>
      <c r="G370">
        <v>2</v>
      </c>
      <c r="M370" t="s">
        <v>3612</v>
      </c>
      <c r="O370" t="s">
        <v>3612</v>
      </c>
    </row>
    <row r="371" spans="2:19" x14ac:dyDescent="0.25">
      <c r="B371">
        <v>12</v>
      </c>
      <c r="C371">
        <v>10</v>
      </c>
      <c r="D371">
        <v>8</v>
      </c>
      <c r="E371">
        <v>6</v>
      </c>
      <c r="F371">
        <v>4</v>
      </c>
      <c r="G371">
        <v>2</v>
      </c>
    </row>
    <row r="372" spans="2:19" x14ac:dyDescent="0.25">
      <c r="B372">
        <v>14</v>
      </c>
      <c r="C372">
        <v>11</v>
      </c>
      <c r="D372">
        <v>9</v>
      </c>
      <c r="E372">
        <v>7</v>
      </c>
      <c r="F372">
        <v>5</v>
      </c>
      <c r="G372">
        <v>3</v>
      </c>
      <c r="K372" t="s">
        <v>3585</v>
      </c>
      <c r="M372" t="s">
        <v>3059</v>
      </c>
      <c r="O372" t="s">
        <v>3059</v>
      </c>
    </row>
    <row r="373" spans="2:19" x14ac:dyDescent="0.25">
      <c r="B373">
        <v>16</v>
      </c>
      <c r="C373">
        <v>13</v>
      </c>
      <c r="D373">
        <v>11</v>
      </c>
      <c r="E373">
        <v>8</v>
      </c>
      <c r="F373">
        <v>6</v>
      </c>
      <c r="G373">
        <v>3</v>
      </c>
      <c r="K373" t="s">
        <v>3626</v>
      </c>
      <c r="M373" t="s">
        <v>3625</v>
      </c>
      <c r="O373" t="s">
        <v>3627</v>
      </c>
    </row>
    <row r="374" spans="2:19" x14ac:dyDescent="0.25">
      <c r="B374">
        <v>18</v>
      </c>
      <c r="C374">
        <v>15</v>
      </c>
      <c r="D374">
        <v>12</v>
      </c>
      <c r="E374">
        <v>9</v>
      </c>
      <c r="F374">
        <v>6</v>
      </c>
      <c r="G374">
        <v>3</v>
      </c>
    </row>
    <row r="375" spans="2:19" x14ac:dyDescent="0.25">
      <c r="K375">
        <v>10</v>
      </c>
      <c r="M375">
        <v>8</v>
      </c>
      <c r="O375">
        <v>8</v>
      </c>
    </row>
    <row r="376" spans="2:19" x14ac:dyDescent="0.25">
      <c r="K376">
        <v>19</v>
      </c>
      <c r="M376">
        <v>20</v>
      </c>
      <c r="O376">
        <v>20</v>
      </c>
      <c r="S376">
        <f>6-5+4+2+1</f>
        <v>8</v>
      </c>
    </row>
    <row r="377" spans="2:19" x14ac:dyDescent="0.25">
      <c r="G377" t="s">
        <v>1472</v>
      </c>
      <c r="H377">
        <f>1+6</f>
        <v>7</v>
      </c>
      <c r="I377">
        <f t="shared" ref="I377:I382" si="24">H377+4</f>
        <v>11</v>
      </c>
      <c r="K377">
        <v>16</v>
      </c>
      <c r="M377">
        <v>12</v>
      </c>
      <c r="O377">
        <v>12</v>
      </c>
      <c r="S377">
        <f>6+4+2+1</f>
        <v>13</v>
      </c>
    </row>
    <row r="378" spans="2:19" x14ac:dyDescent="0.25">
      <c r="G378" t="s">
        <v>836</v>
      </c>
      <c r="H378">
        <f>2+6</f>
        <v>8</v>
      </c>
      <c r="I378">
        <f t="shared" si="24"/>
        <v>12</v>
      </c>
      <c r="K378">
        <v>5</v>
      </c>
      <c r="M378">
        <v>13</v>
      </c>
      <c r="O378">
        <v>13</v>
      </c>
      <c r="S378">
        <f>12/20</f>
        <v>0.6</v>
      </c>
    </row>
    <row r="379" spans="2:19" x14ac:dyDescent="0.25">
      <c r="G379" t="s">
        <v>942</v>
      </c>
      <c r="H379">
        <f>4+9+7</f>
        <v>20</v>
      </c>
      <c r="I379">
        <f t="shared" si="24"/>
        <v>24</v>
      </c>
      <c r="K379">
        <v>10</v>
      </c>
      <c r="M379">
        <v>20</v>
      </c>
      <c r="O379">
        <v>20</v>
      </c>
      <c r="R379">
        <f>7/20</f>
        <v>0.35</v>
      </c>
    </row>
    <row r="380" spans="2:19" x14ac:dyDescent="0.25">
      <c r="G380" t="s">
        <v>930</v>
      </c>
      <c r="H380">
        <f>3+6</f>
        <v>9</v>
      </c>
      <c r="I380">
        <f t="shared" si="24"/>
        <v>13</v>
      </c>
      <c r="K380">
        <v>20</v>
      </c>
      <c r="M380">
        <v>1</v>
      </c>
      <c r="O380">
        <v>1</v>
      </c>
      <c r="R380">
        <f>R379*0.35</f>
        <v>0.12249999999999998</v>
      </c>
    </row>
    <row r="381" spans="2:19" x14ac:dyDescent="0.25">
      <c r="G381" t="s">
        <v>2487</v>
      </c>
      <c r="H381">
        <f>9+10</f>
        <v>19</v>
      </c>
      <c r="I381">
        <f t="shared" si="24"/>
        <v>23</v>
      </c>
      <c r="K381">
        <f>SUM(K375:K380)</f>
        <v>80</v>
      </c>
      <c r="M381">
        <f>SUM(M375:M380)</f>
        <v>74</v>
      </c>
      <c r="O381">
        <f>SUM(O375:O380)</f>
        <v>74</v>
      </c>
      <c r="R381">
        <f>R380-1</f>
        <v>-0.87750000000000006</v>
      </c>
    </row>
    <row r="382" spans="2:19" x14ac:dyDescent="0.25">
      <c r="G382" t="s">
        <v>3630</v>
      </c>
      <c r="H382">
        <f>2+5</f>
        <v>7</v>
      </c>
      <c r="I382">
        <f t="shared" si="24"/>
        <v>11</v>
      </c>
    </row>
    <row r="383" spans="2:19" x14ac:dyDescent="0.25">
      <c r="I383" s="9"/>
      <c r="J383" s="9"/>
      <c r="K383" s="9">
        <v>2.5</v>
      </c>
      <c r="L383" s="9" t="s">
        <v>3628</v>
      </c>
      <c r="M383" s="9"/>
    </row>
    <row r="384" spans="2:19" x14ac:dyDescent="0.25">
      <c r="J384" s="9"/>
      <c r="K384">
        <v>20</v>
      </c>
      <c r="L384" s="9" t="s">
        <v>3629</v>
      </c>
      <c r="M384" s="9"/>
    </row>
    <row r="385" spans="2:13" x14ac:dyDescent="0.25">
      <c r="I385" s="9"/>
      <c r="J385" s="9"/>
      <c r="K385">
        <f>K384/K383</f>
        <v>8</v>
      </c>
      <c r="L385" s="9" t="s">
        <v>3608</v>
      </c>
      <c r="M385" s="9"/>
    </row>
    <row r="386" spans="2:13" x14ac:dyDescent="0.25">
      <c r="I386" s="9"/>
      <c r="J386" s="9"/>
      <c r="L386" s="9"/>
      <c r="M386" s="9"/>
    </row>
    <row r="387" spans="2:13" x14ac:dyDescent="0.25">
      <c r="C387" s="9"/>
      <c r="D387" s="9"/>
      <c r="E387" s="9"/>
      <c r="H387" s="9"/>
      <c r="J387" s="9"/>
      <c r="K387" s="9"/>
      <c r="L387" s="9"/>
      <c r="M387" s="9"/>
    </row>
    <row r="388" spans="2:13" x14ac:dyDescent="0.25">
      <c r="B388" s="9"/>
      <c r="C388" s="9"/>
      <c r="D388" s="9"/>
      <c r="E388" s="9"/>
      <c r="G388" s="9"/>
      <c r="H388" s="9"/>
      <c r="I388" s="9"/>
      <c r="J388" s="9"/>
      <c r="K388" s="9"/>
      <c r="L388" s="9"/>
      <c r="M388" s="9"/>
    </row>
    <row r="389" spans="2:13" x14ac:dyDescent="0.25">
      <c r="B389" s="9"/>
      <c r="C389" s="9"/>
      <c r="D389" s="9"/>
      <c r="E389" s="9"/>
      <c r="G389" s="9"/>
      <c r="H389" s="9"/>
      <c r="I389" s="9"/>
      <c r="J389" s="9"/>
      <c r="K389" s="9"/>
      <c r="L389" s="9"/>
      <c r="M389" s="9"/>
    </row>
    <row r="434" spans="2:5" x14ac:dyDescent="0.25">
      <c r="B434" s="9"/>
    </row>
    <row r="435" spans="2:5" x14ac:dyDescent="0.25">
      <c r="B435" s="9"/>
    </row>
    <row r="436" spans="2:5" x14ac:dyDescent="0.25">
      <c r="B436" s="9"/>
      <c r="E436" s="9"/>
    </row>
    <row r="437" spans="2:5" x14ac:dyDescent="0.25">
      <c r="B437" s="9"/>
      <c r="E437" s="9"/>
    </row>
    <row r="438" spans="2:5" x14ac:dyDescent="0.25">
      <c r="B438" s="9"/>
      <c r="E438" s="9"/>
    </row>
    <row r="439" spans="2:5" x14ac:dyDescent="0.25">
      <c r="B439" s="9"/>
      <c r="E439" s="9"/>
    </row>
    <row r="440" spans="2:5" x14ac:dyDescent="0.25">
      <c r="B440" s="9"/>
      <c r="E440" s="9"/>
    </row>
    <row r="441" spans="2:5" x14ac:dyDescent="0.25">
      <c r="B441" s="9"/>
      <c r="E441" s="9"/>
    </row>
    <row r="442" spans="2:5" x14ac:dyDescent="0.25">
      <c r="B442" s="9"/>
      <c r="E442" s="9"/>
    </row>
    <row r="443" spans="2:5" x14ac:dyDescent="0.25">
      <c r="B443" s="9"/>
      <c r="E443" s="9"/>
    </row>
    <row r="444" spans="2:5" x14ac:dyDescent="0.25">
      <c r="B444" s="9"/>
    </row>
    <row r="445" spans="2:5" x14ac:dyDescent="0.25">
      <c r="B445" s="9"/>
    </row>
    <row r="446" spans="2:5" x14ac:dyDescent="0.25">
      <c r="B446" s="9"/>
    </row>
    <row r="447" spans="2:5" x14ac:dyDescent="0.25">
      <c r="B447" s="9"/>
    </row>
  </sheetData>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B1:AP25"/>
  <sheetViews>
    <sheetView topLeftCell="G1" workbookViewId="0">
      <selection activeCell="L14" sqref="L14"/>
    </sheetView>
  </sheetViews>
  <sheetFormatPr defaultRowHeight="15" x14ac:dyDescent="0.25"/>
  <sheetData>
    <row r="1" spans="2:42" x14ac:dyDescent="0.25">
      <c r="C1">
        <v>1</v>
      </c>
      <c r="D1">
        <f t="shared" ref="D1:AP1" si="0">C1+1</f>
        <v>2</v>
      </c>
      <c r="E1">
        <f t="shared" si="0"/>
        <v>3</v>
      </c>
      <c r="F1">
        <f t="shared" si="0"/>
        <v>4</v>
      </c>
      <c r="G1">
        <f t="shared" si="0"/>
        <v>5</v>
      </c>
      <c r="H1">
        <f t="shared" si="0"/>
        <v>6</v>
      </c>
      <c r="I1">
        <f t="shared" si="0"/>
        <v>7</v>
      </c>
      <c r="J1">
        <f t="shared" si="0"/>
        <v>8</v>
      </c>
      <c r="K1">
        <f t="shared" si="0"/>
        <v>9</v>
      </c>
      <c r="L1">
        <f t="shared" si="0"/>
        <v>10</v>
      </c>
      <c r="M1">
        <f t="shared" si="0"/>
        <v>11</v>
      </c>
      <c r="N1">
        <f t="shared" si="0"/>
        <v>12</v>
      </c>
      <c r="O1">
        <f t="shared" si="0"/>
        <v>13</v>
      </c>
      <c r="P1">
        <f t="shared" si="0"/>
        <v>14</v>
      </c>
      <c r="Q1">
        <f t="shared" si="0"/>
        <v>15</v>
      </c>
      <c r="R1">
        <f t="shared" si="0"/>
        <v>16</v>
      </c>
      <c r="S1">
        <f t="shared" si="0"/>
        <v>17</v>
      </c>
      <c r="T1">
        <f t="shared" si="0"/>
        <v>18</v>
      </c>
      <c r="U1">
        <f t="shared" si="0"/>
        <v>19</v>
      </c>
      <c r="V1">
        <f t="shared" si="0"/>
        <v>20</v>
      </c>
      <c r="W1">
        <f t="shared" si="0"/>
        <v>21</v>
      </c>
      <c r="X1">
        <f t="shared" si="0"/>
        <v>22</v>
      </c>
      <c r="Y1">
        <f t="shared" si="0"/>
        <v>23</v>
      </c>
      <c r="Z1">
        <f t="shared" si="0"/>
        <v>24</v>
      </c>
      <c r="AA1">
        <f t="shared" si="0"/>
        <v>25</v>
      </c>
      <c r="AB1">
        <f t="shared" si="0"/>
        <v>26</v>
      </c>
      <c r="AC1">
        <f t="shared" si="0"/>
        <v>27</v>
      </c>
      <c r="AD1">
        <f t="shared" si="0"/>
        <v>28</v>
      </c>
      <c r="AE1">
        <f t="shared" si="0"/>
        <v>29</v>
      </c>
      <c r="AF1">
        <f t="shared" si="0"/>
        <v>30</v>
      </c>
      <c r="AG1">
        <f t="shared" si="0"/>
        <v>31</v>
      </c>
      <c r="AH1">
        <f t="shared" si="0"/>
        <v>32</v>
      </c>
      <c r="AI1">
        <f t="shared" si="0"/>
        <v>33</v>
      </c>
      <c r="AJ1">
        <f t="shared" si="0"/>
        <v>34</v>
      </c>
      <c r="AK1">
        <f t="shared" si="0"/>
        <v>35</v>
      </c>
      <c r="AL1">
        <f t="shared" si="0"/>
        <v>36</v>
      </c>
      <c r="AM1">
        <f t="shared" si="0"/>
        <v>37</v>
      </c>
      <c r="AN1">
        <f t="shared" si="0"/>
        <v>38</v>
      </c>
      <c r="AO1">
        <f t="shared" si="0"/>
        <v>39</v>
      </c>
      <c r="AP1">
        <f t="shared" si="0"/>
        <v>40</v>
      </c>
    </row>
    <row r="2" spans="2:42" x14ac:dyDescent="0.25">
      <c r="B2" t="s">
        <v>3128</v>
      </c>
      <c r="C2" t="s">
        <v>3129</v>
      </c>
      <c r="D2" t="s">
        <v>3129</v>
      </c>
      <c r="E2" t="s">
        <v>3129</v>
      </c>
      <c r="F2" t="s">
        <v>3129</v>
      </c>
      <c r="G2" t="s">
        <v>3130</v>
      </c>
      <c r="H2" t="s">
        <v>3130</v>
      </c>
      <c r="I2" t="s">
        <v>3130</v>
      </c>
      <c r="J2" t="s">
        <v>3130</v>
      </c>
      <c r="K2" t="s">
        <v>3130</v>
      </c>
      <c r="L2" t="s">
        <v>3130</v>
      </c>
      <c r="M2" t="s">
        <v>3130</v>
      </c>
      <c r="N2" t="s">
        <v>3130</v>
      </c>
      <c r="O2" t="s">
        <v>3130</v>
      </c>
      <c r="P2" t="s">
        <v>3131</v>
      </c>
      <c r="Q2" t="s">
        <v>3129</v>
      </c>
      <c r="R2" t="s">
        <v>3129</v>
      </c>
      <c r="S2" t="s">
        <v>3132</v>
      </c>
      <c r="T2" t="s">
        <v>3132</v>
      </c>
      <c r="U2" t="s">
        <v>3132</v>
      </c>
      <c r="V2" t="s">
        <v>3132</v>
      </c>
      <c r="W2" t="s">
        <v>3132</v>
      </c>
      <c r="X2" t="s">
        <v>3132</v>
      </c>
      <c r="Y2" t="s">
        <v>3132</v>
      </c>
      <c r="Z2" t="s">
        <v>3132</v>
      </c>
      <c r="AA2" t="s">
        <v>3132</v>
      </c>
      <c r="AB2" t="s">
        <v>3129</v>
      </c>
      <c r="AC2" t="s">
        <v>3129</v>
      </c>
      <c r="AD2" t="s">
        <v>3129</v>
      </c>
      <c r="AE2" t="s">
        <v>3129</v>
      </c>
      <c r="AF2" t="s">
        <v>3129</v>
      </c>
      <c r="AG2" t="s">
        <v>3129</v>
      </c>
      <c r="AH2" t="s">
        <v>3129</v>
      </c>
      <c r="AI2" t="s">
        <v>3129</v>
      </c>
      <c r="AJ2" t="s">
        <v>3129</v>
      </c>
      <c r="AK2" t="s">
        <v>3129</v>
      </c>
      <c r="AL2" t="s">
        <v>3129</v>
      </c>
      <c r="AM2" t="s">
        <v>3129</v>
      </c>
      <c r="AN2" t="s">
        <v>3129</v>
      </c>
      <c r="AO2" t="s">
        <v>3129</v>
      </c>
      <c r="AP2" t="s">
        <v>3129</v>
      </c>
    </row>
    <row r="3" spans="2:42" x14ac:dyDescent="0.25">
      <c r="B3" t="s">
        <v>3133</v>
      </c>
      <c r="C3" t="s">
        <v>3129</v>
      </c>
      <c r="D3" t="s">
        <v>3129</v>
      </c>
      <c r="E3" t="s">
        <v>3129</v>
      </c>
      <c r="F3" t="s">
        <v>3129</v>
      </c>
      <c r="G3" t="s">
        <v>3129</v>
      </c>
      <c r="H3" t="s">
        <v>3129</v>
      </c>
      <c r="I3" t="s">
        <v>3134</v>
      </c>
      <c r="J3" t="s">
        <v>3134</v>
      </c>
      <c r="K3" t="s">
        <v>3134</v>
      </c>
      <c r="L3" t="s">
        <v>3134</v>
      </c>
      <c r="M3" t="s">
        <v>3134</v>
      </c>
      <c r="N3" t="s">
        <v>3134</v>
      </c>
      <c r="O3" t="s">
        <v>3134</v>
      </c>
      <c r="P3" t="s">
        <v>3134</v>
      </c>
      <c r="Q3" t="s">
        <v>3134</v>
      </c>
      <c r="R3" t="s">
        <v>3129</v>
      </c>
      <c r="S3" t="s">
        <v>3129</v>
      </c>
      <c r="T3" t="s">
        <v>3129</v>
      </c>
      <c r="U3" t="s">
        <v>3135</v>
      </c>
      <c r="V3" t="s">
        <v>3135</v>
      </c>
      <c r="W3" t="s">
        <v>3135</v>
      </c>
      <c r="X3" t="s">
        <v>3135</v>
      </c>
      <c r="Y3" t="s">
        <v>3135</v>
      </c>
      <c r="Z3" t="s">
        <v>3135</v>
      </c>
      <c r="AA3" t="s">
        <v>3135</v>
      </c>
      <c r="AB3" t="s">
        <v>3135</v>
      </c>
      <c r="AC3" t="s">
        <v>3135</v>
      </c>
      <c r="AD3" t="s">
        <v>3129</v>
      </c>
      <c r="AE3" t="s">
        <v>3129</v>
      </c>
      <c r="AF3" t="s">
        <v>3129</v>
      </c>
      <c r="AG3" t="s">
        <v>3129</v>
      </c>
      <c r="AH3" t="s">
        <v>3129</v>
      </c>
      <c r="AI3" t="s">
        <v>3129</v>
      </c>
      <c r="AJ3" t="s">
        <v>3129</v>
      </c>
      <c r="AK3" t="s">
        <v>3129</v>
      </c>
      <c r="AL3" t="s">
        <v>3129</v>
      </c>
      <c r="AM3" t="s">
        <v>3129</v>
      </c>
      <c r="AN3" t="s">
        <v>3129</v>
      </c>
      <c r="AO3" t="s">
        <v>3129</v>
      </c>
      <c r="AP3" t="s">
        <v>3129</v>
      </c>
    </row>
    <row r="4" spans="2:42" x14ac:dyDescent="0.25">
      <c r="B4" t="s">
        <v>3136</v>
      </c>
      <c r="C4" t="s">
        <v>3129</v>
      </c>
      <c r="D4" t="s">
        <v>3129</v>
      </c>
      <c r="E4" t="s">
        <v>3129</v>
      </c>
      <c r="F4" t="s">
        <v>3129</v>
      </c>
      <c r="G4" t="s">
        <v>3129</v>
      </c>
      <c r="H4" t="s">
        <v>3129</v>
      </c>
      <c r="I4" t="s">
        <v>3129</v>
      </c>
      <c r="J4" t="s">
        <v>3129</v>
      </c>
      <c r="K4" t="s">
        <v>3137</v>
      </c>
      <c r="L4" t="s">
        <v>3137</v>
      </c>
      <c r="M4" t="s">
        <v>3137</v>
      </c>
      <c r="N4" t="s">
        <v>3137</v>
      </c>
      <c r="O4" t="s">
        <v>3137</v>
      </c>
      <c r="P4" t="s">
        <v>3137</v>
      </c>
      <c r="Q4" t="s">
        <v>3137</v>
      </c>
      <c r="R4" t="s">
        <v>3137</v>
      </c>
      <c r="S4" t="s">
        <v>3137</v>
      </c>
      <c r="T4" t="s">
        <v>3129</v>
      </c>
      <c r="U4" t="s">
        <v>3129</v>
      </c>
      <c r="V4" t="s">
        <v>3129</v>
      </c>
      <c r="W4" t="s">
        <v>3138</v>
      </c>
      <c r="X4" t="s">
        <v>3138</v>
      </c>
      <c r="Y4" t="s">
        <v>3138</v>
      </c>
      <c r="Z4" t="s">
        <v>3138</v>
      </c>
      <c r="AA4" t="s">
        <v>3138</v>
      </c>
      <c r="AB4" t="s">
        <v>3138</v>
      </c>
      <c r="AC4" t="s">
        <v>3138</v>
      </c>
      <c r="AD4" t="s">
        <v>3138</v>
      </c>
      <c r="AE4" t="s">
        <v>3138</v>
      </c>
      <c r="AF4" t="s">
        <v>3129</v>
      </c>
      <c r="AG4" t="s">
        <v>3129</v>
      </c>
      <c r="AH4" t="s">
        <v>3129</v>
      </c>
      <c r="AI4" t="s">
        <v>3129</v>
      </c>
      <c r="AJ4" t="s">
        <v>3129</v>
      </c>
      <c r="AK4" t="s">
        <v>3129</v>
      </c>
      <c r="AL4" t="s">
        <v>3129</v>
      </c>
      <c r="AM4" t="s">
        <v>3129</v>
      </c>
      <c r="AN4" t="s">
        <v>3129</v>
      </c>
      <c r="AO4" t="s">
        <v>3129</v>
      </c>
      <c r="AP4" t="s">
        <v>3129</v>
      </c>
    </row>
    <row r="5" spans="2:42" x14ac:dyDescent="0.25">
      <c r="B5" t="s">
        <v>3139</v>
      </c>
      <c r="C5" t="s">
        <v>3129</v>
      </c>
      <c r="D5" t="s">
        <v>3129</v>
      </c>
      <c r="E5" t="s">
        <v>3129</v>
      </c>
      <c r="F5" t="s">
        <v>3129</v>
      </c>
      <c r="G5" t="s">
        <v>3129</v>
      </c>
      <c r="H5" t="s">
        <v>3129</v>
      </c>
      <c r="I5" t="s">
        <v>3129</v>
      </c>
      <c r="J5" t="s">
        <v>3140</v>
      </c>
      <c r="K5" t="s">
        <v>3129</v>
      </c>
      <c r="L5" t="s">
        <v>3129</v>
      </c>
      <c r="M5" t="s">
        <v>3141</v>
      </c>
      <c r="N5" t="s">
        <v>3141</v>
      </c>
      <c r="O5" t="s">
        <v>3141</v>
      </c>
      <c r="P5" t="s">
        <v>3141</v>
      </c>
      <c r="Q5" t="s">
        <v>3141</v>
      </c>
      <c r="R5" t="s">
        <v>3141</v>
      </c>
      <c r="S5" t="s">
        <v>3141</v>
      </c>
      <c r="T5" t="s">
        <v>3141</v>
      </c>
      <c r="U5" t="s">
        <v>3141</v>
      </c>
      <c r="V5" t="s">
        <v>3129</v>
      </c>
      <c r="W5" t="s">
        <v>3129</v>
      </c>
      <c r="X5" t="s">
        <v>3129</v>
      </c>
      <c r="Y5" t="s">
        <v>3129</v>
      </c>
      <c r="Z5" t="s">
        <v>3129</v>
      </c>
      <c r="AA5" t="s">
        <v>3129</v>
      </c>
      <c r="AB5" t="s">
        <v>3129</v>
      </c>
      <c r="AC5" t="s">
        <v>3129</v>
      </c>
      <c r="AD5" t="s">
        <v>3129</v>
      </c>
      <c r="AE5" t="s">
        <v>3129</v>
      </c>
      <c r="AF5" t="s">
        <v>3129</v>
      </c>
      <c r="AG5" t="s">
        <v>3129</v>
      </c>
      <c r="AH5" t="s">
        <v>3129</v>
      </c>
      <c r="AI5" t="s">
        <v>3129</v>
      </c>
      <c r="AJ5" t="s">
        <v>3129</v>
      </c>
      <c r="AK5" t="s">
        <v>3129</v>
      </c>
      <c r="AL5" t="s">
        <v>3129</v>
      </c>
      <c r="AM5" t="s">
        <v>3129</v>
      </c>
      <c r="AN5" t="s">
        <v>3129</v>
      </c>
      <c r="AO5" t="s">
        <v>3129</v>
      </c>
      <c r="AP5" t="s">
        <v>3129</v>
      </c>
    </row>
    <row r="6" spans="2:42" x14ac:dyDescent="0.25">
      <c r="B6" t="s">
        <v>3142</v>
      </c>
      <c r="C6" t="s">
        <v>3129</v>
      </c>
      <c r="D6" t="s">
        <v>3129</v>
      </c>
      <c r="E6" t="s">
        <v>3129</v>
      </c>
      <c r="F6" t="s">
        <v>3129</v>
      </c>
      <c r="G6" t="s">
        <v>3129</v>
      </c>
      <c r="H6" t="s">
        <v>3129</v>
      </c>
      <c r="I6" t="s">
        <v>3129</v>
      </c>
      <c r="J6" t="s">
        <v>3129</v>
      </c>
      <c r="K6" t="s">
        <v>3129</v>
      </c>
      <c r="L6" t="s">
        <v>3129</v>
      </c>
      <c r="M6" t="s">
        <v>3129</v>
      </c>
      <c r="N6" t="s">
        <v>3129</v>
      </c>
      <c r="O6" t="s">
        <v>3143</v>
      </c>
      <c r="P6" t="s">
        <v>3143</v>
      </c>
      <c r="Q6" t="s">
        <v>3143</v>
      </c>
      <c r="R6" t="s">
        <v>3143</v>
      </c>
      <c r="S6" t="s">
        <v>3143</v>
      </c>
      <c r="T6" t="s">
        <v>3143</v>
      </c>
      <c r="U6" t="s">
        <v>3143</v>
      </c>
      <c r="V6" t="s">
        <v>3143</v>
      </c>
      <c r="W6" t="s">
        <v>3143</v>
      </c>
      <c r="X6" t="s">
        <v>3129</v>
      </c>
      <c r="Y6" t="s">
        <v>3129</v>
      </c>
      <c r="Z6" t="s">
        <v>3129</v>
      </c>
      <c r="AA6" t="s">
        <v>3129</v>
      </c>
      <c r="AB6" t="s">
        <v>3129</v>
      </c>
      <c r="AC6" t="s">
        <v>3129</v>
      </c>
      <c r="AD6" t="s">
        <v>3129</v>
      </c>
      <c r="AE6" t="s">
        <v>3129</v>
      </c>
      <c r="AF6" t="s">
        <v>3129</v>
      </c>
      <c r="AG6" t="s">
        <v>3129</v>
      </c>
      <c r="AH6" t="s">
        <v>3129</v>
      </c>
      <c r="AI6" t="s">
        <v>3129</v>
      </c>
      <c r="AJ6" t="s">
        <v>3129</v>
      </c>
      <c r="AK6" t="s">
        <v>3129</v>
      </c>
      <c r="AL6" t="s">
        <v>3129</v>
      </c>
      <c r="AM6" t="s">
        <v>3129</v>
      </c>
      <c r="AN6" t="s">
        <v>3129</v>
      </c>
      <c r="AO6" t="s">
        <v>3129</v>
      </c>
      <c r="AP6" t="s">
        <v>3129</v>
      </c>
    </row>
    <row r="7" spans="2:42" x14ac:dyDescent="0.25">
      <c r="B7" t="s">
        <v>3144</v>
      </c>
      <c r="C7" t="s">
        <v>3129</v>
      </c>
      <c r="D7" t="s">
        <v>3129</v>
      </c>
      <c r="E7" t="s">
        <v>3129</v>
      </c>
      <c r="F7" t="s">
        <v>3129</v>
      </c>
      <c r="G7" t="s">
        <v>3129</v>
      </c>
      <c r="H7" t="s">
        <v>3129</v>
      </c>
      <c r="I7" t="s">
        <v>3129</v>
      </c>
      <c r="J7" t="s">
        <v>3129</v>
      </c>
      <c r="K7" t="s">
        <v>3129</v>
      </c>
      <c r="L7" t="s">
        <v>3129</v>
      </c>
      <c r="M7" t="s">
        <v>3129</v>
      </c>
      <c r="N7" t="s">
        <v>3129</v>
      </c>
      <c r="O7" t="s">
        <v>3129</v>
      </c>
      <c r="P7" t="s">
        <v>3145</v>
      </c>
      <c r="Q7" t="s">
        <v>3146</v>
      </c>
      <c r="R7" t="s">
        <v>3146</v>
      </c>
      <c r="S7" t="s">
        <v>3146</v>
      </c>
      <c r="T7" t="s">
        <v>3146</v>
      </c>
      <c r="U7" t="s">
        <v>3146</v>
      </c>
      <c r="V7" t="s">
        <v>3146</v>
      </c>
      <c r="W7" t="s">
        <v>3146</v>
      </c>
      <c r="X7" t="s">
        <v>3146</v>
      </c>
      <c r="Y7" t="s">
        <v>3146</v>
      </c>
      <c r="Z7" t="s">
        <v>3129</v>
      </c>
      <c r="AA7" t="s">
        <v>3129</v>
      </c>
      <c r="AB7" t="s">
        <v>3129</v>
      </c>
      <c r="AC7" t="s">
        <v>3129</v>
      </c>
      <c r="AD7" t="s">
        <v>3129</v>
      </c>
      <c r="AE7" t="s">
        <v>3129</v>
      </c>
      <c r="AF7" t="s">
        <v>3129</v>
      </c>
      <c r="AG7" t="s">
        <v>3129</v>
      </c>
      <c r="AH7" t="s">
        <v>3129</v>
      </c>
      <c r="AI7" t="s">
        <v>3129</v>
      </c>
      <c r="AJ7" t="s">
        <v>3129</v>
      </c>
      <c r="AK7" t="s">
        <v>3129</v>
      </c>
      <c r="AL7" t="s">
        <v>3129</v>
      </c>
      <c r="AM7" t="s">
        <v>3129</v>
      </c>
      <c r="AN7" t="s">
        <v>3129</v>
      </c>
      <c r="AO7" t="s">
        <v>3129</v>
      </c>
      <c r="AP7" t="s">
        <v>3129</v>
      </c>
    </row>
    <row r="9" spans="2:42" x14ac:dyDescent="0.25">
      <c r="G9" t="s">
        <v>3147</v>
      </c>
      <c r="H9" t="s">
        <v>3147</v>
      </c>
      <c r="I9" t="s">
        <v>3147</v>
      </c>
      <c r="J9" t="s">
        <v>3147</v>
      </c>
      <c r="K9" t="s">
        <v>3147</v>
      </c>
      <c r="L9" t="s">
        <v>3147</v>
      </c>
      <c r="M9" t="s">
        <v>3147</v>
      </c>
      <c r="N9" t="s">
        <v>3147</v>
      </c>
      <c r="O9" t="s">
        <v>3147</v>
      </c>
    </row>
    <row r="10" spans="2:42" x14ac:dyDescent="0.25">
      <c r="I10" t="s">
        <v>3148</v>
      </c>
      <c r="J10" t="s">
        <v>3148</v>
      </c>
      <c r="K10" t="s">
        <v>3148</v>
      </c>
      <c r="L10" t="s">
        <v>3148</v>
      </c>
      <c r="M10" t="s">
        <v>3148</v>
      </c>
      <c r="N10" t="s">
        <v>3148</v>
      </c>
      <c r="O10" t="s">
        <v>3148</v>
      </c>
      <c r="P10" t="s">
        <v>3148</v>
      </c>
      <c r="Q10" t="s">
        <v>3148</v>
      </c>
    </row>
    <row r="11" spans="2:42" x14ac:dyDescent="0.25">
      <c r="K11" t="s">
        <v>3149</v>
      </c>
      <c r="L11" t="s">
        <v>3149</v>
      </c>
      <c r="M11" t="s">
        <v>3149</v>
      </c>
      <c r="N11" t="s">
        <v>3149</v>
      </c>
      <c r="O11" t="s">
        <v>3149</v>
      </c>
      <c r="P11" t="s">
        <v>3149</v>
      </c>
      <c r="Q11" t="s">
        <v>3149</v>
      </c>
      <c r="R11" t="s">
        <v>3149</v>
      </c>
      <c r="S11" t="s">
        <v>3149</v>
      </c>
    </row>
    <row r="12" spans="2:42" x14ac:dyDescent="0.25">
      <c r="M12" t="s">
        <v>3158</v>
      </c>
      <c r="N12" t="s">
        <v>3158</v>
      </c>
      <c r="O12" t="s">
        <v>3158</v>
      </c>
      <c r="P12" t="s">
        <v>3158</v>
      </c>
      <c r="Q12" t="s">
        <v>3158</v>
      </c>
      <c r="R12" t="s">
        <v>3158</v>
      </c>
      <c r="S12" t="s">
        <v>3158</v>
      </c>
      <c r="T12" t="s">
        <v>3158</v>
      </c>
    </row>
    <row r="13" spans="2:42" x14ac:dyDescent="0.25">
      <c r="O13" t="s">
        <v>3150</v>
      </c>
      <c r="P13" t="s">
        <v>3150</v>
      </c>
      <c r="Q13" t="s">
        <v>3150</v>
      </c>
      <c r="R13" t="s">
        <v>3150</v>
      </c>
      <c r="S13" t="s">
        <v>3150</v>
      </c>
      <c r="T13" t="s">
        <v>3150</v>
      </c>
      <c r="U13" t="s">
        <v>3150</v>
      </c>
      <c r="V13" t="s">
        <v>3150</v>
      </c>
      <c r="W13" t="s">
        <v>3150</v>
      </c>
    </row>
    <row r="14" spans="2:42" x14ac:dyDescent="0.25">
      <c r="O14" t="s">
        <v>3151</v>
      </c>
      <c r="Q14" t="s">
        <v>3150</v>
      </c>
      <c r="R14" t="s">
        <v>3150</v>
      </c>
      <c r="S14" t="s">
        <v>3150</v>
      </c>
      <c r="T14" t="s">
        <v>3150</v>
      </c>
      <c r="U14" t="s">
        <v>3150</v>
      </c>
      <c r="V14" t="s">
        <v>3150</v>
      </c>
      <c r="W14" t="s">
        <v>3150</v>
      </c>
      <c r="X14" t="s">
        <v>3150</v>
      </c>
      <c r="Y14" t="s">
        <v>3150</v>
      </c>
    </row>
    <row r="15" spans="2:42" x14ac:dyDescent="0.25">
      <c r="Q15" t="s">
        <v>3152</v>
      </c>
      <c r="S15" t="s">
        <v>3150</v>
      </c>
      <c r="T15" t="s">
        <v>3150</v>
      </c>
      <c r="U15" t="s">
        <v>3150</v>
      </c>
      <c r="V15" t="s">
        <v>3150</v>
      </c>
      <c r="W15" t="s">
        <v>3150</v>
      </c>
      <c r="X15" t="s">
        <v>3150</v>
      </c>
      <c r="Y15" t="s">
        <v>3150</v>
      </c>
      <c r="Z15" t="s">
        <v>3150</v>
      </c>
      <c r="AA15" t="s">
        <v>3150</v>
      </c>
    </row>
    <row r="16" spans="2:42" x14ac:dyDescent="0.25">
      <c r="S16" t="s">
        <v>3153</v>
      </c>
      <c r="U16" t="s">
        <v>3150</v>
      </c>
      <c r="V16" t="s">
        <v>3150</v>
      </c>
      <c r="W16" t="s">
        <v>3150</v>
      </c>
      <c r="X16" t="s">
        <v>3150</v>
      </c>
      <c r="Y16" t="s">
        <v>3150</v>
      </c>
      <c r="Z16" t="s">
        <v>3150</v>
      </c>
      <c r="AA16" t="s">
        <v>3150</v>
      </c>
      <c r="AB16" t="s">
        <v>3150</v>
      </c>
      <c r="AC16" t="s">
        <v>3150</v>
      </c>
    </row>
    <row r="17" spans="7:23" x14ac:dyDescent="0.25">
      <c r="G17" t="s">
        <v>3155</v>
      </c>
      <c r="U17" t="s">
        <v>3154</v>
      </c>
      <c r="W17" t="s">
        <v>3150</v>
      </c>
    </row>
    <row r="18" spans="7:23" x14ac:dyDescent="0.25">
      <c r="G18" t="s">
        <v>3156</v>
      </c>
      <c r="W18" t="s">
        <v>233</v>
      </c>
    </row>
    <row r="19" spans="7:23" x14ac:dyDescent="0.25">
      <c r="G19" t="s">
        <v>3157</v>
      </c>
    </row>
    <row r="20" spans="7:23" x14ac:dyDescent="0.25">
      <c r="G20" t="s">
        <v>3159</v>
      </c>
    </row>
    <row r="21" spans="7:23" x14ac:dyDescent="0.25">
      <c r="G21" t="s">
        <v>3160</v>
      </c>
      <c r="M21">
        <f>100/8</f>
        <v>12.5</v>
      </c>
    </row>
    <row r="22" spans="7:23" x14ac:dyDescent="0.25">
      <c r="G22" t="s">
        <v>3161</v>
      </c>
      <c r="M22">
        <f>8*3.5</f>
        <v>28</v>
      </c>
      <c r="N22">
        <f>M22*13</f>
        <v>364</v>
      </c>
    </row>
    <row r="23" spans="7:23" x14ac:dyDescent="0.25">
      <c r="G23" t="s">
        <v>3162</v>
      </c>
    </row>
    <row r="24" spans="7:23" x14ac:dyDescent="0.25">
      <c r="G24" t="s">
        <v>3163</v>
      </c>
    </row>
    <row r="25" spans="7:23" x14ac:dyDescent="0.25">
      <c r="G25" t="s">
        <v>3164</v>
      </c>
    </row>
  </sheetData>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3:AH466"/>
  <sheetViews>
    <sheetView topLeftCell="A457" workbookViewId="0">
      <selection activeCell="F417" sqref="F417"/>
    </sheetView>
  </sheetViews>
  <sheetFormatPr defaultRowHeight="15" x14ac:dyDescent="0.25"/>
  <cols>
    <col min="1" max="1" width="9.140625" style="26"/>
    <col min="2" max="2" width="16.28515625" style="26" customWidth="1"/>
    <col min="3" max="4" width="9.140625" style="26"/>
    <col min="5" max="5" width="16.85546875" style="26" customWidth="1"/>
    <col min="6" max="6" width="17.42578125" style="26" customWidth="1"/>
    <col min="7" max="7" width="9.140625" style="26"/>
    <col min="8" max="8" width="10" style="26" bestFit="1" customWidth="1"/>
    <col min="9" max="11" width="9.140625" style="26"/>
    <col min="12" max="12" width="14.7109375" style="26" customWidth="1"/>
    <col min="13" max="13" width="9.140625" style="26" customWidth="1"/>
    <col min="14" max="17" width="9.140625" style="26"/>
    <col min="18" max="18" width="18.85546875" style="26" customWidth="1"/>
    <col min="19" max="16384" width="9.140625" style="26"/>
  </cols>
  <sheetData>
    <row r="3" spans="2:23" x14ac:dyDescent="0.25">
      <c r="B3" s="26" t="s">
        <v>3259</v>
      </c>
      <c r="C3" s="26" t="s">
        <v>3260</v>
      </c>
    </row>
    <row r="4" spans="2:23" x14ac:dyDescent="0.25">
      <c r="B4" s="26" t="s">
        <v>3012</v>
      </c>
      <c r="C4" s="26" t="s">
        <v>3258</v>
      </c>
    </row>
    <row r="5" spans="2:23" x14ac:dyDescent="0.25">
      <c r="B5" s="26" t="s">
        <v>3015</v>
      </c>
      <c r="C5" s="26" t="s">
        <v>3253</v>
      </c>
    </row>
    <row r="6" spans="2:23" x14ac:dyDescent="0.25">
      <c r="B6" s="26" t="s">
        <v>2998</v>
      </c>
      <c r="C6" s="26" t="s">
        <v>3254</v>
      </c>
    </row>
    <row r="7" spans="2:23" x14ac:dyDescent="0.25">
      <c r="B7" s="26" t="s">
        <v>2995</v>
      </c>
      <c r="C7" s="26" t="s">
        <v>3255</v>
      </c>
    </row>
    <row r="8" spans="2:23" x14ac:dyDescent="0.25">
      <c r="B8" s="26" t="s">
        <v>3256</v>
      </c>
      <c r="C8" s="26" t="s">
        <v>3257</v>
      </c>
    </row>
    <row r="9" spans="2:23" x14ac:dyDescent="0.25">
      <c r="B9" s="26" t="s">
        <v>3261</v>
      </c>
      <c r="K9" s="26" t="s">
        <v>2732</v>
      </c>
      <c r="L9" s="26" t="s">
        <v>2726</v>
      </c>
      <c r="M9" s="26" t="s">
        <v>2735</v>
      </c>
      <c r="N9" s="26" t="s">
        <v>2733</v>
      </c>
      <c r="O9" s="26" t="s">
        <v>3120</v>
      </c>
      <c r="R9" s="26" t="s">
        <v>212</v>
      </c>
      <c r="S9" s="26">
        <v>1</v>
      </c>
      <c r="T9" s="26">
        <v>1</v>
      </c>
      <c r="U9" s="26" t="s">
        <v>212</v>
      </c>
      <c r="W9" s="26">
        <v>13</v>
      </c>
    </row>
    <row r="10" spans="2:23" x14ac:dyDescent="0.25">
      <c r="B10" s="26" t="s">
        <v>3262</v>
      </c>
      <c r="C10" s="26" t="s">
        <v>3263</v>
      </c>
      <c r="K10" s="26" t="s">
        <v>668</v>
      </c>
      <c r="L10" s="26" t="s">
        <v>2513</v>
      </c>
      <c r="M10" s="26" t="s">
        <v>671</v>
      </c>
      <c r="N10" s="26" t="s">
        <v>670</v>
      </c>
      <c r="O10" s="26" t="s">
        <v>1597</v>
      </c>
      <c r="R10" s="26" t="s">
        <v>841</v>
      </c>
      <c r="S10" s="26">
        <v>1</v>
      </c>
      <c r="T10" s="26">
        <v>1</v>
      </c>
      <c r="U10" s="26" t="s">
        <v>841</v>
      </c>
      <c r="W10" s="26">
        <v>-2</v>
      </c>
    </row>
    <row r="11" spans="2:23" x14ac:dyDescent="0.25">
      <c r="B11" s="26" t="s">
        <v>3264</v>
      </c>
      <c r="C11" s="26" t="s">
        <v>3265</v>
      </c>
      <c r="K11" s="26" t="s">
        <v>673</v>
      </c>
      <c r="L11" s="26" t="s">
        <v>1627</v>
      </c>
      <c r="N11" s="26" t="s">
        <v>1622</v>
      </c>
      <c r="O11" s="26" t="s">
        <v>1628</v>
      </c>
      <c r="R11" s="26" t="s">
        <v>3296</v>
      </c>
      <c r="S11" s="26">
        <v>1</v>
      </c>
      <c r="T11" s="26">
        <v>1</v>
      </c>
      <c r="U11" s="26" t="s">
        <v>3296</v>
      </c>
      <c r="W11" s="26">
        <v>-1</v>
      </c>
    </row>
    <row r="12" spans="2:23" x14ac:dyDescent="0.25">
      <c r="B12" s="26" t="s">
        <v>3266</v>
      </c>
      <c r="C12" s="26" t="s">
        <v>3267</v>
      </c>
      <c r="K12" s="26" t="s">
        <v>1631</v>
      </c>
      <c r="L12" s="26" t="s">
        <v>667</v>
      </c>
      <c r="N12" s="26" t="s">
        <v>1623</v>
      </c>
      <c r="R12" s="26" t="s">
        <v>1985</v>
      </c>
      <c r="S12" s="26">
        <v>1</v>
      </c>
      <c r="W12" s="26">
        <v>-1</v>
      </c>
    </row>
    <row r="13" spans="2:23" x14ac:dyDescent="0.25">
      <c r="B13" s="26" t="s">
        <v>2351</v>
      </c>
      <c r="C13" s="26" t="s">
        <v>3268</v>
      </c>
      <c r="K13" s="26" t="s">
        <v>1854</v>
      </c>
      <c r="N13" s="26" t="s">
        <v>1854</v>
      </c>
      <c r="R13" s="26" t="s">
        <v>2308</v>
      </c>
      <c r="S13" s="26">
        <v>1</v>
      </c>
      <c r="T13" s="26">
        <v>1</v>
      </c>
      <c r="U13" s="26" t="s">
        <v>2308</v>
      </c>
      <c r="W13" s="26">
        <v>-1</v>
      </c>
    </row>
    <row r="14" spans="2:23" x14ac:dyDescent="0.25">
      <c r="B14" s="26" t="s">
        <v>3269</v>
      </c>
      <c r="C14" s="26" t="s">
        <v>3270</v>
      </c>
      <c r="T14" s="26">
        <f>1.5+1+2+1+2+1+0.5+2+3+2</f>
        <v>16</v>
      </c>
      <c r="W14" s="26">
        <v>-1</v>
      </c>
    </row>
    <row r="15" spans="2:23" x14ac:dyDescent="0.25">
      <c r="B15" s="26" t="s">
        <v>3271</v>
      </c>
      <c r="C15" s="26" t="s">
        <v>3293</v>
      </c>
      <c r="W15" s="26">
        <v>-3</v>
      </c>
    </row>
    <row r="16" spans="2:23" x14ac:dyDescent="0.25">
      <c r="B16" s="26" t="s">
        <v>3272</v>
      </c>
      <c r="C16" s="26" t="s">
        <v>3273</v>
      </c>
      <c r="W16" s="26">
        <v>-4</v>
      </c>
    </row>
    <row r="17" spans="2:23" x14ac:dyDescent="0.25">
      <c r="B17" s="26" t="s">
        <v>1141</v>
      </c>
      <c r="C17" s="26" t="s">
        <v>3274</v>
      </c>
      <c r="N17" s="26" t="s">
        <v>2732</v>
      </c>
      <c r="P17" s="26" t="s">
        <v>2733</v>
      </c>
      <c r="S17" s="26">
        <f>0.5^2</f>
        <v>0.25</v>
      </c>
      <c r="W17" s="26">
        <v>-3</v>
      </c>
    </row>
    <row r="18" spans="2:23" x14ac:dyDescent="0.25">
      <c r="B18" s="26" t="s">
        <v>3275</v>
      </c>
      <c r="C18" s="26" t="s">
        <v>3276</v>
      </c>
      <c r="N18" s="26" t="s">
        <v>668</v>
      </c>
      <c r="P18" s="26" t="s">
        <v>670</v>
      </c>
      <c r="S18" s="26">
        <f>0.75^5</f>
        <v>0.2373046875</v>
      </c>
      <c r="W18" s="26">
        <v>-2</v>
      </c>
    </row>
    <row r="19" spans="2:23" x14ac:dyDescent="0.25">
      <c r="B19" s="26" t="s">
        <v>3277</v>
      </c>
      <c r="C19" s="26" t="s">
        <v>3278</v>
      </c>
      <c r="N19" s="26" t="s">
        <v>673</v>
      </c>
      <c r="P19" s="26" t="s">
        <v>1854</v>
      </c>
      <c r="W19" s="26">
        <v>-1</v>
      </c>
    </row>
    <row r="20" spans="2:23" x14ac:dyDescent="0.25">
      <c r="B20" s="26" t="s">
        <v>3279</v>
      </c>
      <c r="C20" s="26" t="s">
        <v>3280</v>
      </c>
      <c r="N20" s="26" t="s">
        <v>3295</v>
      </c>
      <c r="P20" s="26" t="s">
        <v>989</v>
      </c>
      <c r="S20" s="26">
        <f>1+1+1+1</f>
        <v>4</v>
      </c>
    </row>
    <row r="21" spans="2:23" x14ac:dyDescent="0.25">
      <c r="B21" s="26" t="s">
        <v>3281</v>
      </c>
      <c r="C21" s="26" t="s">
        <v>3268</v>
      </c>
      <c r="N21" s="26" t="s">
        <v>2531</v>
      </c>
      <c r="S21" s="26">
        <f>S20*2</f>
        <v>8</v>
      </c>
    </row>
    <row r="22" spans="2:23" x14ac:dyDescent="0.25">
      <c r="B22" s="26" t="s">
        <v>3282</v>
      </c>
      <c r="C22" s="26" t="s">
        <v>3268</v>
      </c>
      <c r="N22" s="26" t="s">
        <v>3297</v>
      </c>
      <c r="S22" s="26">
        <f>S21*2</f>
        <v>16</v>
      </c>
    </row>
    <row r="23" spans="2:23" x14ac:dyDescent="0.25">
      <c r="B23" s="26" t="s">
        <v>3283</v>
      </c>
      <c r="C23" s="26" t="s">
        <v>3284</v>
      </c>
      <c r="N23" s="26" t="s">
        <v>2528</v>
      </c>
    </row>
    <row r="24" spans="2:23" x14ac:dyDescent="0.25">
      <c r="B24" s="26" t="s">
        <v>3285</v>
      </c>
      <c r="C24" s="26" t="s">
        <v>3286</v>
      </c>
      <c r="W24" s="26">
        <f>SUM(W9:W23)</f>
        <v>-6</v>
      </c>
    </row>
    <row r="25" spans="2:23" x14ac:dyDescent="0.25">
      <c r="B25" s="26" t="s">
        <v>3287</v>
      </c>
      <c r="C25" s="26" t="s">
        <v>3288</v>
      </c>
    </row>
    <row r="26" spans="2:23" x14ac:dyDescent="0.25">
      <c r="B26" s="26" t="s">
        <v>3289</v>
      </c>
      <c r="C26" s="26" t="s">
        <v>3290</v>
      </c>
    </row>
    <row r="27" spans="2:23" x14ac:dyDescent="0.25">
      <c r="B27" s="26" t="s">
        <v>3291</v>
      </c>
      <c r="C27" s="26" t="s">
        <v>3292</v>
      </c>
    </row>
    <row r="28" spans="2:23" x14ac:dyDescent="0.25">
      <c r="B28" s="26" t="s">
        <v>3294</v>
      </c>
      <c r="C28" s="26" t="s">
        <v>3293</v>
      </c>
    </row>
    <row r="30" spans="2:23" x14ac:dyDescent="0.25">
      <c r="B30" s="26" t="s">
        <v>2003</v>
      </c>
      <c r="D30" s="26">
        <v>2</v>
      </c>
    </row>
    <row r="31" spans="2:23" x14ac:dyDescent="0.25">
      <c r="B31" s="26" t="s">
        <v>966</v>
      </c>
      <c r="D31" s="26">
        <v>1</v>
      </c>
      <c r="K31" s="26" t="s">
        <v>212</v>
      </c>
      <c r="L31" s="26">
        <v>8</v>
      </c>
      <c r="N31" s="26">
        <f>4+2+2+10+1+5</f>
        <v>24</v>
      </c>
      <c r="P31" s="26">
        <v>3</v>
      </c>
    </row>
    <row r="32" spans="2:23" x14ac:dyDescent="0.25">
      <c r="B32" s="26" t="s">
        <v>3012</v>
      </c>
      <c r="C32" s="26">
        <v>1</v>
      </c>
      <c r="D32" s="26">
        <v>1</v>
      </c>
      <c r="K32" s="26" t="s">
        <v>155</v>
      </c>
      <c r="L32" s="26">
        <v>-5</v>
      </c>
      <c r="P32" s="26">
        <v>-3</v>
      </c>
    </row>
    <row r="33" spans="2:18" x14ac:dyDescent="0.25">
      <c r="B33" s="26" t="s">
        <v>3015</v>
      </c>
      <c r="C33" s="26">
        <v>2</v>
      </c>
      <c r="D33" s="26">
        <v>2</v>
      </c>
      <c r="K33" s="26" t="s">
        <v>1600</v>
      </c>
      <c r="L33" s="26">
        <v>-1</v>
      </c>
      <c r="P33" s="26">
        <v>-1</v>
      </c>
    </row>
    <row r="34" spans="2:18" x14ac:dyDescent="0.25">
      <c r="B34" s="26" t="s">
        <v>2995</v>
      </c>
      <c r="K34" s="26" t="s">
        <v>1192</v>
      </c>
      <c r="L34" s="26">
        <v>-1</v>
      </c>
      <c r="P34" s="26">
        <v>-3</v>
      </c>
    </row>
    <row r="35" spans="2:18" x14ac:dyDescent="0.25">
      <c r="B35" s="26" t="s">
        <v>3261</v>
      </c>
      <c r="K35" s="26" t="s">
        <v>3303</v>
      </c>
      <c r="L35" s="26">
        <v>-1</v>
      </c>
      <c r="P35" s="26">
        <v>-3</v>
      </c>
    </row>
    <row r="36" spans="2:18" x14ac:dyDescent="0.25">
      <c r="B36" s="26" t="s">
        <v>3262</v>
      </c>
      <c r="C36" s="26">
        <v>2</v>
      </c>
      <c r="K36" s="26" t="s">
        <v>3304</v>
      </c>
      <c r="L36" s="26">
        <v>-2</v>
      </c>
      <c r="P36" s="26">
        <v>-3</v>
      </c>
    </row>
    <row r="37" spans="2:18" x14ac:dyDescent="0.25">
      <c r="B37" s="26" t="s">
        <v>3264</v>
      </c>
      <c r="K37" s="26" t="s">
        <v>964</v>
      </c>
      <c r="L37" s="26">
        <v>-1</v>
      </c>
      <c r="P37" s="26">
        <v>4</v>
      </c>
    </row>
    <row r="38" spans="2:18" x14ac:dyDescent="0.25">
      <c r="B38" s="26" t="s">
        <v>3281</v>
      </c>
      <c r="C38" s="26">
        <v>1</v>
      </c>
      <c r="K38" s="26" t="s">
        <v>877</v>
      </c>
      <c r="L38" s="26">
        <v>-1</v>
      </c>
    </row>
    <row r="39" spans="2:18" x14ac:dyDescent="0.25">
      <c r="B39" s="26" t="s">
        <v>3282</v>
      </c>
      <c r="C39" s="26">
        <v>2</v>
      </c>
      <c r="K39" s="26" t="s">
        <v>3305</v>
      </c>
      <c r="L39" s="26">
        <v>-1</v>
      </c>
    </row>
    <row r="40" spans="2:18" x14ac:dyDescent="0.25">
      <c r="K40" s="26" t="s">
        <v>3010</v>
      </c>
      <c r="L40" s="26">
        <v>-2</v>
      </c>
    </row>
    <row r="41" spans="2:18" x14ac:dyDescent="0.25">
      <c r="E41" s="26">
        <v>5</v>
      </c>
      <c r="F41" s="26" t="s">
        <v>3298</v>
      </c>
    </row>
    <row r="42" spans="2:18" x14ac:dyDescent="0.25">
      <c r="E42" s="26">
        <v>10</v>
      </c>
      <c r="F42" s="26" t="s">
        <v>3299</v>
      </c>
    </row>
    <row r="43" spans="2:18" x14ac:dyDescent="0.25">
      <c r="B43" s="26" t="s">
        <v>1807</v>
      </c>
      <c r="E43" s="26">
        <v>15</v>
      </c>
      <c r="F43" s="26" t="s">
        <v>3300</v>
      </c>
    </row>
    <row r="44" spans="2:18" x14ac:dyDescent="0.25">
      <c r="B44" s="26" t="s">
        <v>2664</v>
      </c>
      <c r="E44" s="26">
        <v>20</v>
      </c>
      <c r="F44" s="26" t="s">
        <v>3301</v>
      </c>
    </row>
    <row r="45" spans="2:18" x14ac:dyDescent="0.25">
      <c r="B45" s="26" t="s">
        <v>668</v>
      </c>
      <c r="E45" s="26">
        <v>25</v>
      </c>
      <c r="F45" s="26" t="s">
        <v>3302</v>
      </c>
      <c r="L45" s="26">
        <f>SUM(L31:L44)</f>
        <v>-7</v>
      </c>
      <c r="P45" s="26">
        <f>SUM(P31:P44)</f>
        <v>-6</v>
      </c>
    </row>
    <row r="46" spans="2:18" x14ac:dyDescent="0.25">
      <c r="C46" s="26">
        <v>1</v>
      </c>
      <c r="D46" s="26">
        <v>2</v>
      </c>
      <c r="E46" s="26">
        <f>SUM(E41:E45)</f>
        <v>75</v>
      </c>
    </row>
    <row r="47" spans="2:18" x14ac:dyDescent="0.25">
      <c r="C47" s="26">
        <v>2</v>
      </c>
      <c r="D47" s="26">
        <v>3</v>
      </c>
    </row>
    <row r="48" spans="2:18" x14ac:dyDescent="0.25">
      <c r="B48" s="26">
        <v>84</v>
      </c>
      <c r="C48" s="26">
        <v>3</v>
      </c>
      <c r="D48" s="26">
        <v>4</v>
      </c>
      <c r="J48" s="26" t="s">
        <v>673</v>
      </c>
      <c r="K48" s="26" t="s">
        <v>3314</v>
      </c>
      <c r="L48" s="26" t="s">
        <v>3315</v>
      </c>
      <c r="M48" s="26" t="s">
        <v>3316</v>
      </c>
      <c r="N48" s="26" t="s">
        <v>3309</v>
      </c>
      <c r="O48" s="26" t="s">
        <v>668</v>
      </c>
      <c r="P48" s="26" t="s">
        <v>3297</v>
      </c>
      <c r="Q48" s="26" t="s">
        <v>797</v>
      </c>
      <c r="R48" s="26" t="s">
        <v>1078</v>
      </c>
    </row>
    <row r="49" spans="2:18" x14ac:dyDescent="0.25">
      <c r="C49" s="26">
        <v>4</v>
      </c>
      <c r="D49" s="26">
        <v>5</v>
      </c>
      <c r="G49" s="26" t="s">
        <v>212</v>
      </c>
      <c r="H49" s="26">
        <v>1</v>
      </c>
      <c r="J49" s="26">
        <v>1</v>
      </c>
      <c r="K49" s="26">
        <v>1</v>
      </c>
      <c r="L49" s="26">
        <v>1</v>
      </c>
      <c r="M49" s="26">
        <v>1</v>
      </c>
      <c r="N49" s="26">
        <v>1</v>
      </c>
      <c r="O49" s="26">
        <v>1</v>
      </c>
      <c r="P49" s="26">
        <v>1</v>
      </c>
      <c r="Q49" s="26">
        <v>1</v>
      </c>
      <c r="R49" s="26">
        <v>1</v>
      </c>
    </row>
    <row r="50" spans="2:18" x14ac:dyDescent="0.25">
      <c r="B50" s="26" t="s">
        <v>668</v>
      </c>
      <c r="C50" s="26">
        <v>5</v>
      </c>
      <c r="D50" s="26">
        <v>6</v>
      </c>
      <c r="G50" s="26" t="s">
        <v>841</v>
      </c>
      <c r="H50" s="26">
        <v>1</v>
      </c>
    </row>
    <row r="51" spans="2:18" x14ac:dyDescent="0.25">
      <c r="B51" s="26" t="s">
        <v>3325</v>
      </c>
      <c r="C51" s="26">
        <v>6</v>
      </c>
      <c r="D51" s="26">
        <v>7</v>
      </c>
      <c r="G51" s="26" t="s">
        <v>3296</v>
      </c>
      <c r="H51" s="26">
        <v>1</v>
      </c>
      <c r="J51" s="26">
        <v>1</v>
      </c>
      <c r="K51" s="26">
        <v>1</v>
      </c>
      <c r="L51" s="26">
        <v>1</v>
      </c>
      <c r="M51" s="26">
        <v>1</v>
      </c>
      <c r="O51" s="26">
        <v>1</v>
      </c>
    </row>
    <row r="52" spans="2:18" x14ac:dyDescent="0.25">
      <c r="B52" s="26" t="s">
        <v>3297</v>
      </c>
      <c r="C52" s="26">
        <v>7</v>
      </c>
      <c r="D52" s="26">
        <v>8</v>
      </c>
      <c r="G52" s="26" t="s">
        <v>1985</v>
      </c>
      <c r="H52" s="26">
        <v>1</v>
      </c>
      <c r="O52" s="26">
        <v>1</v>
      </c>
    </row>
    <row r="53" spans="2:18" x14ac:dyDescent="0.25">
      <c r="C53" s="26">
        <v>8</v>
      </c>
      <c r="D53" s="26">
        <v>9</v>
      </c>
      <c r="G53" s="26" t="s">
        <v>2308</v>
      </c>
      <c r="H53" s="26">
        <v>1</v>
      </c>
      <c r="J53" s="26">
        <v>1</v>
      </c>
      <c r="O53" s="26">
        <v>1</v>
      </c>
      <c r="P53" s="26">
        <v>1</v>
      </c>
    </row>
    <row r="54" spans="2:18" x14ac:dyDescent="0.25">
      <c r="C54" s="26">
        <v>9</v>
      </c>
      <c r="D54" s="26">
        <v>10</v>
      </c>
      <c r="G54" s="26" t="s">
        <v>890</v>
      </c>
      <c r="H54" s="26">
        <v>0.5</v>
      </c>
      <c r="K54" s="26">
        <v>0.5</v>
      </c>
      <c r="N54" s="26">
        <v>0.5</v>
      </c>
    </row>
    <row r="55" spans="2:18" x14ac:dyDescent="0.25">
      <c r="C55" s="26">
        <v>10</v>
      </c>
      <c r="D55" s="26">
        <v>10</v>
      </c>
      <c r="G55" s="26" t="s">
        <v>890</v>
      </c>
      <c r="H55" s="26">
        <v>0.5</v>
      </c>
      <c r="K55" s="26">
        <v>0.5</v>
      </c>
      <c r="N55" s="26">
        <v>0.5</v>
      </c>
    </row>
    <row r="56" spans="2:18" x14ac:dyDescent="0.25">
      <c r="C56" s="26">
        <f>AVERAGE(C46:C55)</f>
        <v>5.5</v>
      </c>
      <c r="D56" s="26">
        <f>AVERAGE(D46:D55)</f>
        <v>6.4</v>
      </c>
      <c r="G56" s="26" t="s">
        <v>2306</v>
      </c>
      <c r="H56" s="26">
        <v>1</v>
      </c>
      <c r="N56" s="26">
        <v>1</v>
      </c>
    </row>
    <row r="57" spans="2:18" x14ac:dyDescent="0.25">
      <c r="C57" s="26">
        <f>C56*6</f>
        <v>33</v>
      </c>
      <c r="D57" s="26">
        <f>D56*6</f>
        <v>38.400000000000006</v>
      </c>
      <c r="G57" s="26" t="s">
        <v>3304</v>
      </c>
      <c r="H57" s="26">
        <v>0.5</v>
      </c>
      <c r="I57" s="26" t="s">
        <v>3307</v>
      </c>
    </row>
    <row r="58" spans="2:18" x14ac:dyDescent="0.25">
      <c r="G58" s="26" t="s">
        <v>3306</v>
      </c>
      <c r="H58" s="26">
        <v>1</v>
      </c>
      <c r="I58" s="26" t="s">
        <v>3308</v>
      </c>
      <c r="K58" s="26">
        <v>1</v>
      </c>
      <c r="L58" s="26">
        <v>1</v>
      </c>
      <c r="M58" s="26">
        <v>1</v>
      </c>
      <c r="P58" s="26">
        <v>1</v>
      </c>
      <c r="R58" s="26">
        <v>0.5</v>
      </c>
    </row>
    <row r="59" spans="2:18" x14ac:dyDescent="0.25">
      <c r="B59" s="26" t="s">
        <v>3318</v>
      </c>
      <c r="G59" s="26" t="s">
        <v>3310</v>
      </c>
      <c r="H59" s="26">
        <v>0.5</v>
      </c>
      <c r="L59" s="26">
        <v>0.5</v>
      </c>
      <c r="Q59" s="26">
        <v>0.5</v>
      </c>
      <c r="R59" s="26">
        <v>0.5</v>
      </c>
    </row>
    <row r="60" spans="2:18" x14ac:dyDescent="0.25">
      <c r="B60" s="26" t="s">
        <v>3320</v>
      </c>
      <c r="G60" s="26" t="s">
        <v>3311</v>
      </c>
      <c r="H60" s="26">
        <v>0.5</v>
      </c>
      <c r="L60" s="26">
        <v>0.5</v>
      </c>
      <c r="Q60" s="26">
        <v>0.5</v>
      </c>
      <c r="R60" s="26">
        <v>0.5</v>
      </c>
    </row>
    <row r="61" spans="2:18" x14ac:dyDescent="0.25">
      <c r="B61" s="26" t="s">
        <v>3319</v>
      </c>
      <c r="G61" s="26" t="s">
        <v>3312</v>
      </c>
      <c r="H61" s="26">
        <v>0.5</v>
      </c>
      <c r="L61" s="26">
        <v>0.5</v>
      </c>
      <c r="Q61" s="26">
        <v>0.5</v>
      </c>
      <c r="R61" s="26">
        <v>0.5</v>
      </c>
    </row>
    <row r="62" spans="2:18" x14ac:dyDescent="0.25">
      <c r="B62" s="26" t="s">
        <v>3321</v>
      </c>
      <c r="G62" s="26" t="s">
        <v>3313</v>
      </c>
      <c r="H62" s="26">
        <v>0.5</v>
      </c>
      <c r="L62" s="26">
        <v>0.5</v>
      </c>
      <c r="Q62" s="26">
        <v>0.5</v>
      </c>
      <c r="R62" s="26">
        <v>0.5</v>
      </c>
    </row>
    <row r="63" spans="2:18" x14ac:dyDescent="0.25">
      <c r="B63" s="26" t="s">
        <v>3322</v>
      </c>
      <c r="G63" s="26" t="s">
        <v>75</v>
      </c>
      <c r="H63" s="26">
        <v>1</v>
      </c>
    </row>
    <row r="64" spans="2:18" x14ac:dyDescent="0.25">
      <c r="B64" s="26" t="s">
        <v>3323</v>
      </c>
      <c r="G64" s="26" t="s">
        <v>3317</v>
      </c>
      <c r="H64" s="26">
        <v>0.5</v>
      </c>
      <c r="R64" s="26">
        <v>0.5</v>
      </c>
    </row>
    <row r="65" spans="2:19" x14ac:dyDescent="0.25">
      <c r="G65" s="26" t="s">
        <v>117</v>
      </c>
      <c r="H65" s="26">
        <v>1</v>
      </c>
      <c r="J65" s="26">
        <v>1</v>
      </c>
      <c r="P65" s="26">
        <v>1</v>
      </c>
      <c r="R65" s="26">
        <v>1</v>
      </c>
    </row>
    <row r="66" spans="2:19" x14ac:dyDescent="0.25">
      <c r="B66" s="26" t="s">
        <v>212</v>
      </c>
      <c r="C66" s="26">
        <v>-1</v>
      </c>
      <c r="D66" s="26">
        <v>-1</v>
      </c>
      <c r="G66" s="26" t="s">
        <v>998</v>
      </c>
      <c r="H66" s="26">
        <v>1</v>
      </c>
    </row>
    <row r="67" spans="2:19" x14ac:dyDescent="0.25">
      <c r="B67" s="26" t="s">
        <v>155</v>
      </c>
      <c r="C67" s="26">
        <v>-5</v>
      </c>
      <c r="D67" s="26">
        <v>-5</v>
      </c>
      <c r="G67" s="26" t="s">
        <v>1150</v>
      </c>
      <c r="H67" s="26">
        <v>2</v>
      </c>
      <c r="Q67" s="26">
        <v>2</v>
      </c>
    </row>
    <row r="68" spans="2:19" x14ac:dyDescent="0.25">
      <c r="B68" s="26" t="s">
        <v>824</v>
      </c>
      <c r="C68" s="26">
        <v>-1</v>
      </c>
      <c r="J68" s="26">
        <f t="shared" ref="J68:S68" si="0">SUM(J49:J67)</f>
        <v>4</v>
      </c>
      <c r="K68" s="26">
        <f t="shared" si="0"/>
        <v>4</v>
      </c>
      <c r="L68" s="26">
        <f t="shared" si="0"/>
        <v>5</v>
      </c>
      <c r="M68" s="26">
        <f t="shared" si="0"/>
        <v>3</v>
      </c>
      <c r="N68" s="26">
        <f t="shared" si="0"/>
        <v>3</v>
      </c>
      <c r="O68" s="26">
        <f t="shared" si="0"/>
        <v>4</v>
      </c>
      <c r="P68" s="26">
        <f t="shared" si="0"/>
        <v>4</v>
      </c>
      <c r="Q68" s="26">
        <f t="shared" si="0"/>
        <v>5</v>
      </c>
      <c r="R68" s="26">
        <f t="shared" si="0"/>
        <v>5</v>
      </c>
      <c r="S68" s="26">
        <f t="shared" si="0"/>
        <v>0</v>
      </c>
    </row>
    <row r="69" spans="2:19" x14ac:dyDescent="0.25">
      <c r="B69" s="26" t="s">
        <v>964</v>
      </c>
      <c r="C69" s="26">
        <v>-1</v>
      </c>
      <c r="D69" s="26">
        <v>-1</v>
      </c>
      <c r="G69" s="26" t="s">
        <v>3324</v>
      </c>
      <c r="J69" s="26">
        <f t="shared" ref="J69:S69" si="1">J68*2</f>
        <v>8</v>
      </c>
      <c r="K69" s="26">
        <f t="shared" si="1"/>
        <v>8</v>
      </c>
      <c r="L69" s="26">
        <f t="shared" si="1"/>
        <v>10</v>
      </c>
      <c r="M69" s="26">
        <f t="shared" si="1"/>
        <v>6</v>
      </c>
      <c r="N69" s="26">
        <f t="shared" si="1"/>
        <v>6</v>
      </c>
      <c r="O69" s="26">
        <f t="shared" si="1"/>
        <v>8</v>
      </c>
      <c r="P69" s="26">
        <f t="shared" si="1"/>
        <v>8</v>
      </c>
      <c r="Q69" s="26">
        <f t="shared" si="1"/>
        <v>10</v>
      </c>
      <c r="R69" s="26">
        <f t="shared" si="1"/>
        <v>10</v>
      </c>
      <c r="S69" s="26">
        <f t="shared" si="1"/>
        <v>0</v>
      </c>
    </row>
    <row r="70" spans="2:19" x14ac:dyDescent="0.25">
      <c r="B70" s="26" t="s">
        <v>966</v>
      </c>
      <c r="C70" s="26">
        <v>-1</v>
      </c>
      <c r="D70" s="26">
        <v>-1</v>
      </c>
    </row>
    <row r="71" spans="2:19" x14ac:dyDescent="0.25">
      <c r="B71" s="26" t="s">
        <v>1909</v>
      </c>
      <c r="C71" s="26">
        <v>-1</v>
      </c>
      <c r="D71" s="26">
        <v>-1</v>
      </c>
    </row>
    <row r="72" spans="2:19" x14ac:dyDescent="0.25">
      <c r="B72" s="26" t="s">
        <v>877</v>
      </c>
      <c r="C72" s="26">
        <v>-1</v>
      </c>
      <c r="D72" s="26">
        <v>-1</v>
      </c>
      <c r="L72" s="26">
        <f>3.5+5+5+5+1+1+3</f>
        <v>23.5</v>
      </c>
    </row>
    <row r="73" spans="2:19" x14ac:dyDescent="0.25">
      <c r="B73" s="26" t="s">
        <v>3326</v>
      </c>
      <c r="C73" s="26">
        <v>-2</v>
      </c>
      <c r="M73" s="26">
        <f>1+1+1+1</f>
        <v>4</v>
      </c>
    </row>
    <row r="74" spans="2:19" x14ac:dyDescent="0.25">
      <c r="B74" s="26" t="s">
        <v>3015</v>
      </c>
      <c r="C74" s="26">
        <v>-2</v>
      </c>
    </row>
    <row r="75" spans="2:19" x14ac:dyDescent="0.25">
      <c r="B75" s="26" t="s">
        <v>3012</v>
      </c>
      <c r="C75" s="26">
        <v>-1</v>
      </c>
      <c r="G75" s="26" t="s">
        <v>3328</v>
      </c>
    </row>
    <row r="76" spans="2:19" x14ac:dyDescent="0.25">
      <c r="B76" s="26" t="s">
        <v>3327</v>
      </c>
      <c r="C76" s="26">
        <v>-4</v>
      </c>
      <c r="D76" s="26">
        <v>4</v>
      </c>
      <c r="G76" s="26" t="s">
        <v>3329</v>
      </c>
    </row>
    <row r="77" spans="2:19" x14ac:dyDescent="0.25">
      <c r="D77" s="26">
        <v>-6</v>
      </c>
    </row>
    <row r="78" spans="2:19" x14ac:dyDescent="0.25">
      <c r="C78" s="26">
        <f>SUM(C66:C77)</f>
        <v>-20</v>
      </c>
      <c r="D78" s="26">
        <f>SUM(D66:D77)</f>
        <v>-12</v>
      </c>
      <c r="M78" s="26" t="s">
        <v>3297</v>
      </c>
    </row>
    <row r="79" spans="2:19" x14ac:dyDescent="0.25">
      <c r="M79" s="26" t="s">
        <v>2528</v>
      </c>
    </row>
    <row r="80" spans="2:19" x14ac:dyDescent="0.25">
      <c r="M80" s="26" t="s">
        <v>3330</v>
      </c>
      <c r="N80" s="26" t="s">
        <v>2317</v>
      </c>
    </row>
    <row r="81" spans="2:19" x14ac:dyDescent="0.25">
      <c r="B81" s="27" t="s">
        <v>670</v>
      </c>
    </row>
    <row r="82" spans="2:19" x14ac:dyDescent="0.25">
      <c r="B82" s="26" t="s">
        <v>1854</v>
      </c>
      <c r="G82" s="26" t="s">
        <v>31</v>
      </c>
      <c r="H82" s="26" t="s">
        <v>3332</v>
      </c>
      <c r="I82" s="26" t="s">
        <v>1507</v>
      </c>
      <c r="L82" s="26" t="s">
        <v>3333</v>
      </c>
      <c r="M82" s="26">
        <v>1</v>
      </c>
      <c r="P82" s="26" t="s">
        <v>3333</v>
      </c>
      <c r="Q82" s="26">
        <v>1</v>
      </c>
    </row>
    <row r="83" spans="2:19" x14ac:dyDescent="0.25">
      <c r="B83" s="26" t="s">
        <v>667</v>
      </c>
      <c r="G83" s="26" t="s">
        <v>2142</v>
      </c>
      <c r="H83" s="26" t="s">
        <v>1850</v>
      </c>
      <c r="I83" s="26" t="s">
        <v>3331</v>
      </c>
      <c r="J83" s="26" t="s">
        <v>668</v>
      </c>
      <c r="K83" s="26" t="s">
        <v>673</v>
      </c>
      <c r="L83" s="26" t="s">
        <v>3334</v>
      </c>
      <c r="M83" s="26">
        <v>9</v>
      </c>
      <c r="P83" s="26" t="s">
        <v>3334</v>
      </c>
      <c r="Q83" s="26">
        <v>3</v>
      </c>
    </row>
    <row r="84" spans="2:19" x14ac:dyDescent="0.25">
      <c r="B84" s="26" t="s">
        <v>1629</v>
      </c>
      <c r="L84" s="26" t="s">
        <v>877</v>
      </c>
      <c r="M84" s="26">
        <v>1</v>
      </c>
      <c r="P84" s="26" t="s">
        <v>877</v>
      </c>
      <c r="Q84" s="26">
        <v>1</v>
      </c>
    </row>
    <row r="85" spans="2:19" x14ac:dyDescent="0.25">
      <c r="B85" s="27" t="s">
        <v>1507</v>
      </c>
      <c r="L85" s="26" t="s">
        <v>3010</v>
      </c>
      <c r="M85" s="26">
        <v>2</v>
      </c>
      <c r="P85" s="26" t="s">
        <v>3010</v>
      </c>
    </row>
    <row r="86" spans="2:19" x14ac:dyDescent="0.25">
      <c r="B86" s="27" t="s">
        <v>1853</v>
      </c>
      <c r="L86" s="26" t="s">
        <v>3305</v>
      </c>
      <c r="M86" s="26">
        <v>3</v>
      </c>
      <c r="P86" s="26" t="s">
        <v>3305</v>
      </c>
    </row>
    <row r="87" spans="2:19" x14ac:dyDescent="0.25">
      <c r="B87" s="26" t="s">
        <v>1628</v>
      </c>
      <c r="L87" s="26" t="s">
        <v>1600</v>
      </c>
      <c r="M87" s="26">
        <v>5</v>
      </c>
      <c r="P87" s="26" t="s">
        <v>1600</v>
      </c>
      <c r="Q87" s="26">
        <v>5</v>
      </c>
    </row>
    <row r="88" spans="2:19" x14ac:dyDescent="0.25">
      <c r="B88" s="27" t="s">
        <v>671</v>
      </c>
      <c r="L88" s="26" t="s">
        <v>819</v>
      </c>
      <c r="M88" s="26">
        <v>3</v>
      </c>
      <c r="P88" s="26" t="s">
        <v>819</v>
      </c>
      <c r="Q88" s="26">
        <v>3</v>
      </c>
    </row>
    <row r="89" spans="2:19" x14ac:dyDescent="0.25">
      <c r="B89" s="27" t="s">
        <v>1627</v>
      </c>
    </row>
    <row r="90" spans="2:19" x14ac:dyDescent="0.25">
      <c r="B90" s="27" t="s">
        <v>668</v>
      </c>
      <c r="G90" s="26">
        <v>14</v>
      </c>
      <c r="H90" s="26">
        <v>8</v>
      </c>
      <c r="I90" s="26">
        <v>6</v>
      </c>
    </row>
    <row r="91" spans="2:19" x14ac:dyDescent="0.25">
      <c r="B91" s="27" t="s">
        <v>1622</v>
      </c>
      <c r="G91" s="26">
        <f>3.5*5</f>
        <v>17.5</v>
      </c>
      <c r="H91" s="26">
        <f>3.5*5</f>
        <v>17.5</v>
      </c>
      <c r="I91" s="26">
        <f>3.5*10</f>
        <v>35</v>
      </c>
      <c r="L91" s="26" t="s">
        <v>1600</v>
      </c>
      <c r="P91" s="26" t="s">
        <v>1600</v>
      </c>
    </row>
    <row r="92" spans="2:19" x14ac:dyDescent="0.25">
      <c r="B92" s="28" t="s">
        <v>1621</v>
      </c>
      <c r="E92" s="26">
        <f>7*3.5</f>
        <v>24.5</v>
      </c>
      <c r="G92" s="26">
        <f>G90*G91</f>
        <v>245</v>
      </c>
      <c r="H92" s="26">
        <f>H90*H91</f>
        <v>140</v>
      </c>
      <c r="I92" s="26">
        <f>I90*I91</f>
        <v>210</v>
      </c>
      <c r="J92" s="26">
        <f>G92+H92+I92</f>
        <v>595</v>
      </c>
    </row>
    <row r="93" spans="2:19" x14ac:dyDescent="0.25">
      <c r="B93" s="26" t="s">
        <v>1623</v>
      </c>
      <c r="M93" s="26">
        <f>SUM(M82:M92)</f>
        <v>24</v>
      </c>
      <c r="N93" s="26">
        <f>M93*5</f>
        <v>120</v>
      </c>
      <c r="O93" s="26">
        <f>N93+11</f>
        <v>131</v>
      </c>
      <c r="Q93" s="26">
        <f>SUM(Q82:Q92)</f>
        <v>13</v>
      </c>
      <c r="R93" s="26">
        <f>Q93*5</f>
        <v>65</v>
      </c>
      <c r="S93" s="26">
        <f>R93+11</f>
        <v>76</v>
      </c>
    </row>
    <row r="94" spans="2:19" x14ac:dyDescent="0.25">
      <c r="B94" s="26" t="s">
        <v>1626</v>
      </c>
    </row>
    <row r="95" spans="2:19" x14ac:dyDescent="0.25">
      <c r="B95" s="26" t="s">
        <v>672</v>
      </c>
    </row>
    <row r="96" spans="2:19" x14ac:dyDescent="0.25">
      <c r="B96" s="26" t="s">
        <v>1631</v>
      </c>
    </row>
    <row r="97" spans="2:15" x14ac:dyDescent="0.25">
      <c r="B97" s="26" t="s">
        <v>1630</v>
      </c>
    </row>
    <row r="98" spans="2:15" x14ac:dyDescent="0.25">
      <c r="B98" s="26" t="s">
        <v>1852</v>
      </c>
    </row>
    <row r="99" spans="2:15" x14ac:dyDescent="0.25">
      <c r="B99" s="26" t="s">
        <v>1625</v>
      </c>
    </row>
    <row r="100" spans="2:15" x14ac:dyDescent="0.25">
      <c r="B100" s="27" t="s">
        <v>1597</v>
      </c>
    </row>
    <row r="101" spans="2:15" x14ac:dyDescent="0.25">
      <c r="B101" s="26" t="s">
        <v>2513</v>
      </c>
      <c r="K101" s="26" t="s">
        <v>3341</v>
      </c>
      <c r="L101" s="26" t="s">
        <v>1147</v>
      </c>
      <c r="M101" s="26" t="s">
        <v>2787</v>
      </c>
      <c r="N101" s="26" t="s">
        <v>2790</v>
      </c>
      <c r="O101" s="26" t="s">
        <v>2791</v>
      </c>
    </row>
    <row r="102" spans="2:15" x14ac:dyDescent="0.25">
      <c r="J102" s="26" t="s">
        <v>2717</v>
      </c>
      <c r="K102" s="26" t="s">
        <v>2717</v>
      </c>
      <c r="L102" s="26" t="s">
        <v>2717</v>
      </c>
      <c r="M102" s="26" t="s">
        <v>2717</v>
      </c>
      <c r="N102" s="26" t="s">
        <v>2717</v>
      </c>
      <c r="O102" s="26" t="s">
        <v>2717</v>
      </c>
    </row>
    <row r="103" spans="2:15" x14ac:dyDescent="0.25">
      <c r="G103" s="26">
        <f>2.5+9</f>
        <v>11.5</v>
      </c>
      <c r="H103" s="26">
        <f>3.5+4+1</f>
        <v>8.5</v>
      </c>
      <c r="J103" s="26" t="s">
        <v>2718</v>
      </c>
      <c r="K103" s="26" t="s">
        <v>2718</v>
      </c>
      <c r="L103" s="26" t="s">
        <v>2718</v>
      </c>
      <c r="M103" s="26" t="s">
        <v>2718</v>
      </c>
      <c r="N103" s="26" t="s">
        <v>2718</v>
      </c>
      <c r="O103" s="26" t="s">
        <v>2718</v>
      </c>
    </row>
    <row r="104" spans="2:15" x14ac:dyDescent="0.25">
      <c r="E104" s="26" t="s">
        <v>670</v>
      </c>
      <c r="G104" s="26">
        <f>G103*5</f>
        <v>57.5</v>
      </c>
      <c r="H104" s="26">
        <f>H103*(1+1+0.5+0.5)</f>
        <v>25.5</v>
      </c>
      <c r="I104" s="26">
        <v>1</v>
      </c>
      <c r="J104" s="26" t="s">
        <v>1858</v>
      </c>
      <c r="K104" s="26" t="s">
        <v>1400</v>
      </c>
      <c r="L104" s="26" t="s">
        <v>1858</v>
      </c>
      <c r="N104" s="26" t="s">
        <v>1400</v>
      </c>
    </row>
    <row r="105" spans="2:15" x14ac:dyDescent="0.25">
      <c r="E105" s="26" t="s">
        <v>1854</v>
      </c>
      <c r="I105" s="26">
        <f>I104+1</f>
        <v>2</v>
      </c>
      <c r="J105" s="26" t="s">
        <v>667</v>
      </c>
      <c r="N105" s="26" t="s">
        <v>667</v>
      </c>
    </row>
    <row r="106" spans="2:15" x14ac:dyDescent="0.25">
      <c r="H106" s="26">
        <f>13-3-2-1</f>
        <v>7</v>
      </c>
      <c r="I106" s="26">
        <f>I105+1</f>
        <v>3</v>
      </c>
      <c r="J106" s="26" t="s">
        <v>1850</v>
      </c>
      <c r="N106" s="26" t="s">
        <v>1850</v>
      </c>
      <c r="O106" s="26" t="s">
        <v>1850</v>
      </c>
    </row>
    <row r="107" spans="2:15" x14ac:dyDescent="0.25">
      <c r="B107" s="26">
        <v>1</v>
      </c>
      <c r="C107" s="26">
        <v>3</v>
      </c>
      <c r="E107" s="26" t="s">
        <v>1629</v>
      </c>
      <c r="I107" s="26">
        <f>I106+1</f>
        <v>4</v>
      </c>
      <c r="J107" s="26" t="s">
        <v>2743</v>
      </c>
      <c r="M107" s="26" t="s">
        <v>2743</v>
      </c>
    </row>
    <row r="108" spans="2:15" x14ac:dyDescent="0.25">
      <c r="B108" s="26">
        <v>2</v>
      </c>
      <c r="C108" s="26">
        <v>4</v>
      </c>
      <c r="E108" s="26" t="s">
        <v>1507</v>
      </c>
      <c r="I108" s="26">
        <f>I107+1</f>
        <v>5</v>
      </c>
      <c r="J108" s="26" t="s">
        <v>1851</v>
      </c>
      <c r="M108" s="26" t="s">
        <v>1851</v>
      </c>
    </row>
    <row r="109" spans="2:15" x14ac:dyDescent="0.25">
      <c r="B109" s="26">
        <v>3</v>
      </c>
      <c r="C109" s="26">
        <v>5</v>
      </c>
      <c r="E109" s="26" t="s">
        <v>1853</v>
      </c>
      <c r="G109" s="26" t="s">
        <v>1507</v>
      </c>
      <c r="I109" s="26">
        <f>I108+1</f>
        <v>6</v>
      </c>
      <c r="J109" s="26" t="s">
        <v>3340</v>
      </c>
      <c r="K109" s="26" t="s">
        <v>3340</v>
      </c>
    </row>
    <row r="110" spans="2:15" x14ac:dyDescent="0.25">
      <c r="B110" s="26">
        <v>4</v>
      </c>
      <c r="C110" s="26">
        <v>6</v>
      </c>
      <c r="E110" s="26" t="s">
        <v>1628</v>
      </c>
      <c r="G110" s="26" t="s">
        <v>3340</v>
      </c>
      <c r="J110" s="26" t="s">
        <v>671</v>
      </c>
      <c r="K110" s="26" t="s">
        <v>671</v>
      </c>
      <c r="L110" s="26" t="s">
        <v>671</v>
      </c>
      <c r="N110" s="26" t="s">
        <v>671</v>
      </c>
    </row>
    <row r="111" spans="2:15" x14ac:dyDescent="0.25">
      <c r="B111" s="26">
        <v>5</v>
      </c>
      <c r="C111" s="26">
        <v>7</v>
      </c>
      <c r="E111" s="26" t="s">
        <v>671</v>
      </c>
      <c r="G111" s="26" t="s">
        <v>3338</v>
      </c>
      <c r="H111" s="26">
        <f>4*6.5</f>
        <v>26</v>
      </c>
      <c r="J111" s="26" t="s">
        <v>3338</v>
      </c>
      <c r="K111" s="26" t="s">
        <v>3338</v>
      </c>
    </row>
    <row r="112" spans="2:15" x14ac:dyDescent="0.25">
      <c r="B112" s="26">
        <v>6</v>
      </c>
      <c r="C112" s="26">
        <v>8</v>
      </c>
      <c r="E112" s="26" t="s">
        <v>1627</v>
      </c>
      <c r="G112" s="26" t="s">
        <v>1868</v>
      </c>
      <c r="H112" s="26">
        <f>4*3.5</f>
        <v>14</v>
      </c>
      <c r="J112" s="26" t="s">
        <v>668</v>
      </c>
      <c r="N112" s="26" t="s">
        <v>668</v>
      </c>
    </row>
    <row r="113" spans="2:15" x14ac:dyDescent="0.25">
      <c r="B113" s="26">
        <v>7</v>
      </c>
      <c r="C113" s="26">
        <v>8</v>
      </c>
      <c r="G113" s="26" t="s">
        <v>1857</v>
      </c>
      <c r="J113" s="26" t="s">
        <v>1870</v>
      </c>
      <c r="K113" s="26" t="s">
        <v>1870</v>
      </c>
      <c r="L113" s="26" t="s">
        <v>1400</v>
      </c>
    </row>
    <row r="114" spans="2:15" x14ac:dyDescent="0.25">
      <c r="B114" s="26">
        <v>8</v>
      </c>
      <c r="C114" s="26">
        <v>8</v>
      </c>
      <c r="E114" s="26" t="s">
        <v>1622</v>
      </c>
      <c r="J114" s="26" t="s">
        <v>1621</v>
      </c>
      <c r="N114" s="26" t="s">
        <v>1621</v>
      </c>
      <c r="O114" s="26" t="s">
        <v>1621</v>
      </c>
    </row>
    <row r="115" spans="2:15" x14ac:dyDescent="0.25">
      <c r="B115" s="26">
        <f>AVERAGE(B107:B114)</f>
        <v>4.5</v>
      </c>
      <c r="C115" s="26">
        <f>AVERAGE(C107:C114)</f>
        <v>6.125</v>
      </c>
      <c r="J115" s="26" t="s">
        <v>1626</v>
      </c>
      <c r="M115" s="26" t="s">
        <v>1626</v>
      </c>
    </row>
    <row r="116" spans="2:15" x14ac:dyDescent="0.25">
      <c r="B116" s="26">
        <f>B115*4</f>
        <v>18</v>
      </c>
      <c r="C116" s="26">
        <f>C115*4</f>
        <v>24.5</v>
      </c>
      <c r="E116" s="26" t="s">
        <v>1623</v>
      </c>
      <c r="J116" s="26" t="s">
        <v>2739</v>
      </c>
      <c r="M116" s="26" t="s">
        <v>2739</v>
      </c>
    </row>
    <row r="117" spans="2:15" x14ac:dyDescent="0.25">
      <c r="E117" s="26" t="s">
        <v>1626</v>
      </c>
      <c r="J117" s="26" t="s">
        <v>3335</v>
      </c>
      <c r="K117" s="26" t="s">
        <v>3335</v>
      </c>
      <c r="L117" s="26" t="s">
        <v>3335</v>
      </c>
    </row>
    <row r="118" spans="2:15" x14ac:dyDescent="0.25">
      <c r="E118" s="26" t="s">
        <v>672</v>
      </c>
      <c r="J118" s="26" t="s">
        <v>3339</v>
      </c>
      <c r="K118" s="26" t="s">
        <v>3339</v>
      </c>
      <c r="L118" s="26" t="s">
        <v>3339</v>
      </c>
    </row>
    <row r="119" spans="2:15" x14ac:dyDescent="0.25">
      <c r="E119" s="26" t="s">
        <v>1631</v>
      </c>
      <c r="J119" s="26" t="s">
        <v>3336</v>
      </c>
      <c r="O119" s="26" t="s">
        <v>3336</v>
      </c>
    </row>
    <row r="120" spans="2:15" x14ac:dyDescent="0.25">
      <c r="E120" s="26" t="s">
        <v>1630</v>
      </c>
      <c r="J120" s="26" t="s">
        <v>1630</v>
      </c>
      <c r="K120" s="26" t="s">
        <v>1400</v>
      </c>
      <c r="N120" s="26" t="s">
        <v>1630</v>
      </c>
    </row>
    <row r="121" spans="2:15" x14ac:dyDescent="0.25">
      <c r="E121" s="26" t="s">
        <v>1852</v>
      </c>
      <c r="J121" s="26" t="s">
        <v>3332</v>
      </c>
      <c r="N121" s="26" t="s">
        <v>3332</v>
      </c>
      <c r="O121" s="26" t="s">
        <v>3332</v>
      </c>
    </row>
    <row r="122" spans="2:15" x14ac:dyDescent="0.25">
      <c r="J122" s="26" t="s">
        <v>1868</v>
      </c>
      <c r="K122" s="26" t="s">
        <v>1868</v>
      </c>
      <c r="L122" s="26" t="s">
        <v>1400</v>
      </c>
    </row>
    <row r="123" spans="2:15" x14ac:dyDescent="0.25">
      <c r="E123" s="26" t="s">
        <v>1597</v>
      </c>
      <c r="J123" s="26" t="s">
        <v>1625</v>
      </c>
      <c r="N123" s="26" t="s">
        <v>1625</v>
      </c>
    </row>
    <row r="124" spans="2:15" x14ac:dyDescent="0.25">
      <c r="J124" s="26" t="s">
        <v>1597</v>
      </c>
      <c r="M124" s="26" t="s">
        <v>1597</v>
      </c>
    </row>
    <row r="125" spans="2:15" x14ac:dyDescent="0.25">
      <c r="J125" s="26" t="s">
        <v>2513</v>
      </c>
      <c r="N125" s="26" t="s">
        <v>2513</v>
      </c>
    </row>
    <row r="126" spans="2:15" x14ac:dyDescent="0.25">
      <c r="J126" s="26" t="s">
        <v>1869</v>
      </c>
      <c r="K126" s="26" t="s">
        <v>1400</v>
      </c>
      <c r="L126" s="26" t="s">
        <v>1869</v>
      </c>
      <c r="N126" s="26" t="s">
        <v>1869</v>
      </c>
      <c r="O126" s="26" t="s">
        <v>1869</v>
      </c>
    </row>
    <row r="127" spans="2:15" x14ac:dyDescent="0.25">
      <c r="J127" s="26" t="s">
        <v>3337</v>
      </c>
      <c r="N127" s="26" t="s">
        <v>3337</v>
      </c>
    </row>
    <row r="128" spans="2:15" x14ac:dyDescent="0.25">
      <c r="J128" s="26" t="s">
        <v>1857</v>
      </c>
      <c r="K128" s="26" t="s">
        <v>1857</v>
      </c>
      <c r="L128" s="26" t="s">
        <v>1857</v>
      </c>
    </row>
    <row r="129" spans="5:25" x14ac:dyDescent="0.25">
      <c r="E129" s="26">
        <f>5/20</f>
        <v>0.25</v>
      </c>
    </row>
    <row r="130" spans="5:25" x14ac:dyDescent="0.25">
      <c r="E130" s="26">
        <f>0.75^3</f>
        <v>0.421875</v>
      </c>
    </row>
    <row r="133" spans="5:25" x14ac:dyDescent="0.25">
      <c r="F133" s="26" t="s">
        <v>1436</v>
      </c>
      <c r="G133" s="26" t="s">
        <v>407</v>
      </c>
      <c r="I133" s="26" t="s">
        <v>1229</v>
      </c>
      <c r="J133" s="26" t="s">
        <v>407</v>
      </c>
      <c r="L133" s="26" t="s">
        <v>1436</v>
      </c>
      <c r="M133" s="26" t="s">
        <v>407</v>
      </c>
      <c r="O133" s="29" t="s">
        <v>1229</v>
      </c>
      <c r="P133" s="26" t="s">
        <v>407</v>
      </c>
      <c r="X133" s="29" t="s">
        <v>1436</v>
      </c>
    </row>
    <row r="135" spans="5:25" x14ac:dyDescent="0.25">
      <c r="F135" s="26">
        <v>1</v>
      </c>
      <c r="G135" s="26">
        <v>4</v>
      </c>
      <c r="I135" s="26">
        <v>1</v>
      </c>
      <c r="J135" s="26">
        <v>6</v>
      </c>
      <c r="L135" s="27">
        <v>1</v>
      </c>
      <c r="M135" s="26">
        <v>4</v>
      </c>
      <c r="O135" s="27">
        <v>1</v>
      </c>
      <c r="P135" s="26">
        <v>7</v>
      </c>
      <c r="R135" s="27">
        <v>1</v>
      </c>
      <c r="S135" s="26">
        <v>6</v>
      </c>
      <c r="U135" s="27">
        <v>1</v>
      </c>
      <c r="V135" s="26">
        <v>6</v>
      </c>
      <c r="X135" s="27">
        <v>1</v>
      </c>
      <c r="Y135" s="26">
        <v>4</v>
      </c>
    </row>
    <row r="136" spans="5:25" x14ac:dyDescent="0.25">
      <c r="F136" s="26">
        <v>2</v>
      </c>
      <c r="G136" s="26">
        <f>G135-1</f>
        <v>3</v>
      </c>
      <c r="I136" s="26">
        <v>3</v>
      </c>
      <c r="J136" s="26">
        <f>J135-1</f>
        <v>5</v>
      </c>
      <c r="L136" s="27">
        <v>2</v>
      </c>
      <c r="M136" s="26">
        <f t="shared" ref="M136:M152" si="2">M135-1</f>
        <v>3</v>
      </c>
      <c r="O136" s="27">
        <v>2</v>
      </c>
      <c r="P136" s="26">
        <f t="shared" ref="P136:P152" si="3">P135-1</f>
        <v>6</v>
      </c>
      <c r="R136" s="27">
        <v>2</v>
      </c>
      <c r="S136" s="26">
        <f t="shared" ref="S136:S152" si="4">S135-1</f>
        <v>5</v>
      </c>
      <c r="U136" s="27">
        <v>2</v>
      </c>
      <c r="V136" s="26">
        <f t="shared" ref="V136:V152" si="5">V135-1</f>
        <v>5</v>
      </c>
      <c r="X136" s="27">
        <v>2</v>
      </c>
      <c r="Y136" s="26">
        <f t="shared" ref="Y136:Y152" si="6">Y135-1</f>
        <v>3</v>
      </c>
    </row>
    <row r="137" spans="5:25" x14ac:dyDescent="0.25">
      <c r="F137" s="26">
        <v>4</v>
      </c>
      <c r="G137" s="26">
        <f>G136-1</f>
        <v>2</v>
      </c>
      <c r="I137" s="26">
        <v>6</v>
      </c>
      <c r="J137" s="26">
        <f>J136-1</f>
        <v>4</v>
      </c>
      <c r="L137" s="27">
        <v>3</v>
      </c>
      <c r="M137" s="26">
        <f t="shared" si="2"/>
        <v>2</v>
      </c>
      <c r="O137" s="26">
        <v>4</v>
      </c>
      <c r="P137" s="26">
        <f t="shared" si="3"/>
        <v>5</v>
      </c>
      <c r="R137" s="26">
        <v>4</v>
      </c>
      <c r="S137" s="26">
        <f t="shared" si="4"/>
        <v>4</v>
      </c>
      <c r="U137" s="27">
        <v>3</v>
      </c>
      <c r="V137" s="26">
        <f t="shared" si="5"/>
        <v>4</v>
      </c>
      <c r="X137" s="27">
        <v>3</v>
      </c>
      <c r="Y137" s="26">
        <f t="shared" si="6"/>
        <v>2</v>
      </c>
    </row>
    <row r="138" spans="5:25" x14ac:dyDescent="0.25">
      <c r="F138" s="26">
        <v>6</v>
      </c>
      <c r="G138" s="26">
        <f>G137-1</f>
        <v>1</v>
      </c>
      <c r="I138" s="26">
        <v>9</v>
      </c>
      <c r="J138" s="26">
        <f>J137-1</f>
        <v>3</v>
      </c>
      <c r="L138" s="27">
        <v>4</v>
      </c>
      <c r="M138" s="26">
        <f t="shared" si="2"/>
        <v>1</v>
      </c>
      <c r="O138" s="26">
        <v>6</v>
      </c>
      <c r="P138" s="26">
        <f t="shared" si="3"/>
        <v>4</v>
      </c>
      <c r="R138" s="26">
        <v>6</v>
      </c>
      <c r="S138" s="26">
        <f t="shared" si="4"/>
        <v>3</v>
      </c>
      <c r="U138" s="26">
        <v>5</v>
      </c>
      <c r="V138" s="26">
        <f t="shared" si="5"/>
        <v>3</v>
      </c>
      <c r="X138" s="26">
        <v>5</v>
      </c>
      <c r="Y138" s="26">
        <f t="shared" si="6"/>
        <v>1</v>
      </c>
    </row>
    <row r="139" spans="5:25" x14ac:dyDescent="0.25">
      <c r="F139" s="26">
        <v>8</v>
      </c>
      <c r="G139" s="26">
        <f>G138-1</f>
        <v>0</v>
      </c>
      <c r="I139" s="26">
        <v>12</v>
      </c>
      <c r="J139" s="26">
        <f>J138-1</f>
        <v>2</v>
      </c>
      <c r="L139" s="26">
        <v>6</v>
      </c>
      <c r="M139" s="26">
        <f t="shared" si="2"/>
        <v>0</v>
      </c>
      <c r="O139" s="27">
        <v>9</v>
      </c>
      <c r="P139" s="26">
        <f t="shared" si="3"/>
        <v>3</v>
      </c>
      <c r="R139" s="27">
        <v>9</v>
      </c>
      <c r="S139" s="26">
        <f t="shared" si="4"/>
        <v>2</v>
      </c>
      <c r="U139" s="26">
        <v>7</v>
      </c>
      <c r="V139" s="26">
        <f t="shared" si="5"/>
        <v>2</v>
      </c>
      <c r="X139" s="26">
        <v>7</v>
      </c>
      <c r="Y139" s="26">
        <f t="shared" si="6"/>
        <v>0</v>
      </c>
    </row>
    <row r="140" spans="5:25" x14ac:dyDescent="0.25">
      <c r="L140" s="26">
        <v>8</v>
      </c>
      <c r="M140" s="26">
        <f t="shared" si="2"/>
        <v>-1</v>
      </c>
      <c r="O140" s="27">
        <v>12</v>
      </c>
      <c r="P140" s="26">
        <f t="shared" si="3"/>
        <v>2</v>
      </c>
      <c r="R140" s="27">
        <v>12</v>
      </c>
      <c r="S140" s="26">
        <f t="shared" si="4"/>
        <v>1</v>
      </c>
      <c r="U140" s="26">
        <v>9</v>
      </c>
      <c r="V140" s="26">
        <f t="shared" si="5"/>
        <v>1</v>
      </c>
      <c r="X140" s="26">
        <v>9</v>
      </c>
      <c r="Y140" s="26">
        <f t="shared" si="6"/>
        <v>-1</v>
      </c>
    </row>
    <row r="141" spans="5:25" x14ac:dyDescent="0.25">
      <c r="F141" s="26">
        <v>11</v>
      </c>
      <c r="G141" s="26">
        <f>G139-1</f>
        <v>-1</v>
      </c>
      <c r="I141" s="26">
        <v>17</v>
      </c>
      <c r="J141" s="26">
        <f>J139-1</f>
        <v>1</v>
      </c>
      <c r="L141" s="26">
        <v>10</v>
      </c>
      <c r="M141" s="26">
        <f t="shared" si="2"/>
        <v>-2</v>
      </c>
      <c r="O141" s="26">
        <v>16</v>
      </c>
      <c r="P141" s="26">
        <f t="shared" si="3"/>
        <v>1</v>
      </c>
      <c r="R141" s="26">
        <v>16</v>
      </c>
      <c r="S141" s="26">
        <f t="shared" si="4"/>
        <v>0</v>
      </c>
      <c r="U141" s="27">
        <v>12</v>
      </c>
      <c r="V141" s="26">
        <f t="shared" si="5"/>
        <v>0</v>
      </c>
      <c r="X141" s="27">
        <v>12</v>
      </c>
      <c r="Y141" s="26">
        <f t="shared" si="6"/>
        <v>-2</v>
      </c>
    </row>
    <row r="142" spans="5:25" x14ac:dyDescent="0.25">
      <c r="F142" s="26">
        <v>14</v>
      </c>
      <c r="G142" s="26">
        <f>G141-1</f>
        <v>-2</v>
      </c>
      <c r="I142" s="26">
        <v>22</v>
      </c>
      <c r="J142" s="26">
        <f>J141-1</f>
        <v>0</v>
      </c>
      <c r="L142" s="26">
        <v>12</v>
      </c>
      <c r="M142" s="26">
        <f t="shared" si="2"/>
        <v>-3</v>
      </c>
      <c r="O142" s="26">
        <v>20</v>
      </c>
      <c r="P142" s="26">
        <f t="shared" si="3"/>
        <v>0</v>
      </c>
      <c r="R142" s="26">
        <v>20</v>
      </c>
      <c r="S142" s="26">
        <f t="shared" si="4"/>
        <v>-1</v>
      </c>
      <c r="U142" s="27">
        <v>15</v>
      </c>
      <c r="V142" s="26">
        <f t="shared" si="5"/>
        <v>-1</v>
      </c>
      <c r="X142" s="27">
        <v>15</v>
      </c>
      <c r="Y142" s="26">
        <f t="shared" si="6"/>
        <v>-3</v>
      </c>
    </row>
    <row r="143" spans="5:25" x14ac:dyDescent="0.25">
      <c r="F143" s="26">
        <v>17</v>
      </c>
      <c r="G143" s="26">
        <f>G142-1</f>
        <v>-3</v>
      </c>
      <c r="I143" s="26">
        <v>27</v>
      </c>
      <c r="J143" s="26">
        <f>J142-1</f>
        <v>-1</v>
      </c>
      <c r="L143" s="27">
        <v>15</v>
      </c>
      <c r="M143" s="26">
        <f t="shared" si="2"/>
        <v>-4</v>
      </c>
      <c r="O143" s="27">
        <v>25</v>
      </c>
      <c r="P143" s="26">
        <f t="shared" si="3"/>
        <v>-1</v>
      </c>
      <c r="R143" s="27">
        <v>25</v>
      </c>
      <c r="S143" s="26">
        <f t="shared" si="4"/>
        <v>-2</v>
      </c>
      <c r="U143" s="27">
        <v>18</v>
      </c>
      <c r="V143" s="26">
        <f t="shared" si="5"/>
        <v>-2</v>
      </c>
      <c r="X143" s="27">
        <v>18</v>
      </c>
      <c r="Y143" s="26">
        <f t="shared" si="6"/>
        <v>-4</v>
      </c>
    </row>
    <row r="144" spans="5:25" x14ac:dyDescent="0.25">
      <c r="F144" s="26">
        <v>20</v>
      </c>
      <c r="G144" s="26">
        <f>G143-1</f>
        <v>-4</v>
      </c>
      <c r="I144" s="26">
        <v>32</v>
      </c>
      <c r="J144" s="26">
        <f>J143-1</f>
        <v>-2</v>
      </c>
      <c r="L144" s="27">
        <v>18</v>
      </c>
      <c r="M144" s="26">
        <f t="shared" si="2"/>
        <v>-5</v>
      </c>
      <c r="O144" s="27">
        <v>30</v>
      </c>
      <c r="P144" s="26">
        <f t="shared" si="3"/>
        <v>-2</v>
      </c>
      <c r="R144" s="27">
        <v>30</v>
      </c>
      <c r="S144" s="26">
        <f t="shared" si="4"/>
        <v>-3</v>
      </c>
      <c r="U144" s="26">
        <v>22</v>
      </c>
      <c r="V144" s="26">
        <f t="shared" si="5"/>
        <v>-3</v>
      </c>
      <c r="X144" s="26">
        <v>22</v>
      </c>
      <c r="Y144" s="26">
        <f t="shared" si="6"/>
        <v>-5</v>
      </c>
    </row>
    <row r="145" spans="6:25" x14ac:dyDescent="0.25">
      <c r="F145" s="26">
        <v>23</v>
      </c>
      <c r="G145" s="26">
        <f>G144-1</f>
        <v>-5</v>
      </c>
      <c r="I145" s="26">
        <v>37</v>
      </c>
      <c r="J145" s="26">
        <f>J144-1</f>
        <v>-3</v>
      </c>
      <c r="L145" s="27">
        <v>21</v>
      </c>
      <c r="M145" s="26">
        <f t="shared" si="2"/>
        <v>-6</v>
      </c>
      <c r="O145" s="26">
        <v>36</v>
      </c>
      <c r="P145" s="26">
        <f t="shared" si="3"/>
        <v>-3</v>
      </c>
      <c r="R145" s="26">
        <v>36</v>
      </c>
      <c r="S145" s="26">
        <f t="shared" si="4"/>
        <v>-4</v>
      </c>
      <c r="U145" s="26">
        <v>26</v>
      </c>
      <c r="V145" s="26">
        <f t="shared" si="5"/>
        <v>-4</v>
      </c>
      <c r="X145" s="26">
        <v>26</v>
      </c>
      <c r="Y145" s="26">
        <f t="shared" si="6"/>
        <v>-6</v>
      </c>
    </row>
    <row r="146" spans="6:25" x14ac:dyDescent="0.25">
      <c r="L146" s="27">
        <v>24</v>
      </c>
      <c r="M146" s="26">
        <f t="shared" si="2"/>
        <v>-7</v>
      </c>
      <c r="O146" s="26">
        <v>42</v>
      </c>
      <c r="P146" s="26">
        <f t="shared" si="3"/>
        <v>-4</v>
      </c>
      <c r="R146" s="26">
        <v>42</v>
      </c>
      <c r="S146" s="26">
        <f t="shared" si="4"/>
        <v>-5</v>
      </c>
      <c r="U146" s="26">
        <v>30</v>
      </c>
      <c r="V146" s="26">
        <f t="shared" si="5"/>
        <v>-5</v>
      </c>
      <c r="X146" s="26">
        <v>30</v>
      </c>
      <c r="Y146" s="26">
        <f t="shared" si="6"/>
        <v>-7</v>
      </c>
    </row>
    <row r="147" spans="6:25" x14ac:dyDescent="0.25">
      <c r="F147" s="26">
        <v>28</v>
      </c>
      <c r="G147" s="26">
        <f>G145-1</f>
        <v>-6</v>
      </c>
      <c r="I147" s="26">
        <v>43</v>
      </c>
      <c r="J147" s="26">
        <f>J145-1</f>
        <v>-4</v>
      </c>
      <c r="L147" s="26">
        <v>28</v>
      </c>
      <c r="M147" s="26">
        <f t="shared" si="2"/>
        <v>-8</v>
      </c>
      <c r="O147" s="27">
        <v>49</v>
      </c>
      <c r="P147" s="26">
        <f t="shared" si="3"/>
        <v>-5</v>
      </c>
      <c r="R147" s="27">
        <v>49</v>
      </c>
      <c r="S147" s="26">
        <f t="shared" si="4"/>
        <v>-6</v>
      </c>
      <c r="U147" s="27">
        <v>35</v>
      </c>
      <c r="V147" s="26">
        <f t="shared" si="5"/>
        <v>-6</v>
      </c>
      <c r="X147" s="27">
        <v>35</v>
      </c>
      <c r="Y147" s="26">
        <f t="shared" si="6"/>
        <v>-8</v>
      </c>
    </row>
    <row r="148" spans="6:25" x14ac:dyDescent="0.25">
      <c r="F148" s="26">
        <v>33</v>
      </c>
      <c r="G148" s="26">
        <f>G147-1</f>
        <v>-7</v>
      </c>
      <c r="I148" s="26">
        <v>47</v>
      </c>
      <c r="J148" s="26">
        <f>J147-1</f>
        <v>-5</v>
      </c>
      <c r="L148" s="26">
        <v>32</v>
      </c>
      <c r="M148" s="26">
        <f t="shared" si="2"/>
        <v>-9</v>
      </c>
      <c r="P148" s="26">
        <f t="shared" si="3"/>
        <v>-6</v>
      </c>
      <c r="S148" s="26">
        <f t="shared" si="4"/>
        <v>-7</v>
      </c>
      <c r="U148" s="27">
        <v>40</v>
      </c>
      <c r="V148" s="26">
        <f t="shared" si="5"/>
        <v>-7</v>
      </c>
      <c r="X148" s="27">
        <v>40</v>
      </c>
      <c r="Y148" s="26">
        <f t="shared" si="6"/>
        <v>-9</v>
      </c>
    </row>
    <row r="149" spans="6:25" x14ac:dyDescent="0.25">
      <c r="F149" s="26">
        <v>38</v>
      </c>
      <c r="G149" s="26">
        <f>G148-1</f>
        <v>-8</v>
      </c>
      <c r="J149" s="26">
        <f>J148-1</f>
        <v>-6</v>
      </c>
      <c r="L149" s="26">
        <v>36</v>
      </c>
      <c r="M149" s="26">
        <f t="shared" si="2"/>
        <v>-10</v>
      </c>
      <c r="P149" s="26">
        <f t="shared" si="3"/>
        <v>-7</v>
      </c>
      <c r="S149" s="26">
        <f t="shared" si="4"/>
        <v>-8</v>
      </c>
      <c r="U149" s="27">
        <v>45</v>
      </c>
      <c r="V149" s="26">
        <f t="shared" si="5"/>
        <v>-8</v>
      </c>
      <c r="X149" s="27">
        <v>45</v>
      </c>
      <c r="Y149" s="26">
        <f t="shared" si="6"/>
        <v>-10</v>
      </c>
    </row>
    <row r="150" spans="6:25" x14ac:dyDescent="0.25">
      <c r="F150" s="26">
        <v>43</v>
      </c>
      <c r="G150" s="26">
        <f>G149-1</f>
        <v>-9</v>
      </c>
      <c r="J150" s="26">
        <f>J149-1</f>
        <v>-7</v>
      </c>
      <c r="L150" s="26">
        <v>40</v>
      </c>
      <c r="M150" s="26">
        <f t="shared" si="2"/>
        <v>-11</v>
      </c>
      <c r="P150" s="26">
        <f t="shared" si="3"/>
        <v>-8</v>
      </c>
      <c r="S150" s="26">
        <f t="shared" si="4"/>
        <v>-9</v>
      </c>
      <c r="V150" s="26">
        <f t="shared" si="5"/>
        <v>-9</v>
      </c>
      <c r="Y150" s="26">
        <f t="shared" si="6"/>
        <v>-11</v>
      </c>
    </row>
    <row r="151" spans="6:25" x14ac:dyDescent="0.25">
      <c r="F151" s="26">
        <v>48</v>
      </c>
      <c r="G151" s="26">
        <f>G150-1</f>
        <v>-10</v>
      </c>
      <c r="J151" s="26">
        <f>J150-1</f>
        <v>-8</v>
      </c>
      <c r="L151" s="27">
        <v>45</v>
      </c>
      <c r="M151" s="26">
        <f t="shared" si="2"/>
        <v>-12</v>
      </c>
      <c r="P151" s="26">
        <f t="shared" si="3"/>
        <v>-9</v>
      </c>
      <c r="S151" s="26">
        <f t="shared" si="4"/>
        <v>-10</v>
      </c>
      <c r="V151" s="26">
        <f t="shared" si="5"/>
        <v>-10</v>
      </c>
      <c r="Y151" s="26">
        <f t="shared" si="6"/>
        <v>-12</v>
      </c>
    </row>
    <row r="152" spans="6:25" x14ac:dyDescent="0.25">
      <c r="J152" s="26">
        <f>J151-1</f>
        <v>-9</v>
      </c>
      <c r="L152" s="27">
        <v>50</v>
      </c>
      <c r="M152" s="26">
        <f t="shared" si="2"/>
        <v>-13</v>
      </c>
      <c r="P152" s="26">
        <f t="shared" si="3"/>
        <v>-10</v>
      </c>
      <c r="S152" s="26">
        <f t="shared" si="4"/>
        <v>-11</v>
      </c>
      <c r="V152" s="26">
        <f t="shared" si="5"/>
        <v>-11</v>
      </c>
      <c r="Y152" s="26">
        <f t="shared" si="6"/>
        <v>-13</v>
      </c>
    </row>
    <row r="156" spans="6:25" x14ac:dyDescent="0.25">
      <c r="N156" s="26" t="s">
        <v>2117</v>
      </c>
    </row>
    <row r="157" spans="6:25" x14ac:dyDescent="0.25">
      <c r="L157" s="26" t="s">
        <v>2281</v>
      </c>
      <c r="N157" s="26" t="s">
        <v>1238</v>
      </c>
      <c r="S157" s="26" t="s">
        <v>3342</v>
      </c>
    </row>
    <row r="158" spans="6:25" x14ac:dyDescent="0.25">
      <c r="N158" s="26" t="s">
        <v>2413</v>
      </c>
    </row>
    <row r="162" spans="10:21" x14ac:dyDescent="0.25">
      <c r="N162" s="26" t="s">
        <v>2219</v>
      </c>
      <c r="P162" s="26" t="s">
        <v>1238</v>
      </c>
    </row>
    <row r="163" spans="10:21" x14ac:dyDescent="0.25">
      <c r="N163" s="26" t="s">
        <v>3343</v>
      </c>
      <c r="P163" s="26" t="s">
        <v>3345</v>
      </c>
    </row>
    <row r="164" spans="10:21" x14ac:dyDescent="0.25">
      <c r="N164" s="26" t="s">
        <v>1237</v>
      </c>
    </row>
    <row r="165" spans="10:21" x14ac:dyDescent="0.25">
      <c r="N165" s="26" t="s">
        <v>2491</v>
      </c>
    </row>
    <row r="166" spans="10:21" x14ac:dyDescent="0.25">
      <c r="N166" s="26" t="s">
        <v>3344</v>
      </c>
    </row>
    <row r="168" spans="10:21" x14ac:dyDescent="0.25">
      <c r="J168" s="28" t="s">
        <v>1078</v>
      </c>
      <c r="K168" s="28" t="s">
        <v>1801</v>
      </c>
      <c r="L168" s="28" t="s">
        <v>1598</v>
      </c>
      <c r="M168" s="28" t="s">
        <v>617</v>
      </c>
      <c r="N168" s="28" t="s">
        <v>618</v>
      </c>
      <c r="O168" s="28" t="s">
        <v>619</v>
      </c>
      <c r="P168" s="28" t="s">
        <v>1807</v>
      </c>
      <c r="Q168" s="28" t="s">
        <v>31</v>
      </c>
      <c r="R168" s="28" t="s">
        <v>2441</v>
      </c>
      <c r="S168" s="28" t="s">
        <v>512</v>
      </c>
      <c r="T168" s="28" t="s">
        <v>1082</v>
      </c>
      <c r="U168" s="28" t="s">
        <v>1674</v>
      </c>
    </row>
    <row r="169" spans="10:21" x14ac:dyDescent="0.25">
      <c r="J169" s="28" t="s">
        <v>819</v>
      </c>
      <c r="K169" s="28" t="s">
        <v>1756</v>
      </c>
      <c r="L169" s="28" t="s">
        <v>1761</v>
      </c>
      <c r="M169" s="28" t="s">
        <v>2515</v>
      </c>
      <c r="N169" s="28" t="s">
        <v>990</v>
      </c>
      <c r="O169" s="28" t="s">
        <v>991</v>
      </c>
      <c r="P169" s="28" t="s">
        <v>1556</v>
      </c>
      <c r="Q169" s="28" t="s">
        <v>2514</v>
      </c>
      <c r="R169" s="28"/>
      <c r="S169" s="28" t="s">
        <v>992</v>
      </c>
      <c r="T169" s="28" t="s">
        <v>1762</v>
      </c>
      <c r="U169" s="28"/>
    </row>
    <row r="170" spans="10:21" x14ac:dyDescent="0.25">
      <c r="J170" s="28" t="s">
        <v>1140</v>
      </c>
      <c r="K170" s="28" t="s">
        <v>797</v>
      </c>
      <c r="L170" s="28" t="s">
        <v>1795</v>
      </c>
      <c r="M170" s="28" t="s">
        <v>2516</v>
      </c>
      <c r="N170" s="28" t="s">
        <v>815</v>
      </c>
      <c r="O170" s="28" t="s">
        <v>1080</v>
      </c>
      <c r="P170" s="28"/>
      <c r="Q170" s="28" t="s">
        <v>988</v>
      </c>
      <c r="R170" s="28"/>
      <c r="S170" s="28" t="s">
        <v>814</v>
      </c>
      <c r="T170" s="28" t="s">
        <v>1790</v>
      </c>
      <c r="U170" s="28"/>
    </row>
    <row r="171" spans="10:21" x14ac:dyDescent="0.25">
      <c r="J171" s="28" t="s">
        <v>1079</v>
      </c>
      <c r="K171" s="28" t="s">
        <v>1141</v>
      </c>
      <c r="L171" s="28" t="s">
        <v>987</v>
      </c>
      <c r="M171" s="28" t="s">
        <v>1225</v>
      </c>
      <c r="N171" s="28" t="s">
        <v>1572</v>
      </c>
      <c r="O171" s="28" t="s">
        <v>1081</v>
      </c>
      <c r="P171" s="28"/>
      <c r="Q171" s="28" t="s">
        <v>1779</v>
      </c>
      <c r="R171" s="28"/>
      <c r="S171" s="28" t="s">
        <v>1143</v>
      </c>
      <c r="T171" s="28"/>
      <c r="U171" s="28"/>
    </row>
    <row r="172" spans="10:21" x14ac:dyDescent="0.25">
      <c r="J172" s="28" t="s">
        <v>1763</v>
      </c>
      <c r="K172" s="28"/>
      <c r="L172" s="28" t="s">
        <v>1757</v>
      </c>
      <c r="M172" s="28" t="s">
        <v>2517</v>
      </c>
      <c r="N172" s="28"/>
      <c r="O172" s="28" t="s">
        <v>1787</v>
      </c>
      <c r="P172" s="28"/>
      <c r="Q172" s="28" t="s">
        <v>1780</v>
      </c>
      <c r="R172" s="28"/>
      <c r="S172" s="28"/>
      <c r="T172" s="28"/>
      <c r="U172" s="28"/>
    </row>
    <row r="173" spans="10:21" x14ac:dyDescent="0.25">
      <c r="J173" s="28"/>
      <c r="K173" s="28"/>
      <c r="L173" s="28"/>
      <c r="M173" s="28" t="s">
        <v>2518</v>
      </c>
      <c r="N173" s="28"/>
      <c r="O173" s="28"/>
      <c r="P173" s="28"/>
      <c r="Q173" s="28" t="s">
        <v>1781</v>
      </c>
      <c r="R173" s="28"/>
      <c r="S173" s="28"/>
      <c r="T173" s="28"/>
      <c r="U173" s="28"/>
    </row>
    <row r="177" spans="4:24" x14ac:dyDescent="0.25">
      <c r="I177" s="26" t="s">
        <v>3365</v>
      </c>
      <c r="K177" s="26" t="s">
        <v>3362</v>
      </c>
      <c r="M177" s="26" t="s">
        <v>3356</v>
      </c>
      <c r="O177" s="26" t="s">
        <v>3346</v>
      </c>
      <c r="R177" s="26" t="s">
        <v>2683</v>
      </c>
      <c r="U177" s="26" t="s">
        <v>3350</v>
      </c>
      <c r="W177" s="26" t="s">
        <v>3359</v>
      </c>
    </row>
    <row r="178" spans="4:24" x14ac:dyDescent="0.25">
      <c r="I178" s="26" t="s">
        <v>884</v>
      </c>
      <c r="K178" s="26" t="s">
        <v>3326</v>
      </c>
      <c r="M178" s="26" t="s">
        <v>3357</v>
      </c>
      <c r="O178" s="26" t="s">
        <v>3347</v>
      </c>
      <c r="R178" s="26" t="s">
        <v>3349</v>
      </c>
      <c r="U178" s="26" t="s">
        <v>3351</v>
      </c>
      <c r="W178" s="26" t="s">
        <v>3360</v>
      </c>
    </row>
    <row r="179" spans="4:24" x14ac:dyDescent="0.25">
      <c r="K179" s="26" t="s">
        <v>3363</v>
      </c>
      <c r="M179" s="26" t="s">
        <v>3358</v>
      </c>
      <c r="O179" s="26" t="s">
        <v>3348</v>
      </c>
      <c r="R179" s="26" t="s">
        <v>3355</v>
      </c>
      <c r="U179" s="26" t="s">
        <v>3352</v>
      </c>
      <c r="W179" s="26" t="s">
        <v>3361</v>
      </c>
    </row>
    <row r="180" spans="4:24" x14ac:dyDescent="0.25">
      <c r="I180" s="26" t="s">
        <v>3366</v>
      </c>
      <c r="O180" s="26" t="s">
        <v>862</v>
      </c>
      <c r="U180" s="26" t="s">
        <v>3353</v>
      </c>
    </row>
    <row r="181" spans="4:24" x14ac:dyDescent="0.25">
      <c r="K181" s="26" t="s">
        <v>3364</v>
      </c>
      <c r="R181" s="26" t="s">
        <v>1207</v>
      </c>
      <c r="U181" s="26" t="s">
        <v>3354</v>
      </c>
    </row>
    <row r="183" spans="4:24" x14ac:dyDescent="0.25">
      <c r="K183" s="26" t="s">
        <v>3367</v>
      </c>
      <c r="S183" s="26">
        <f>350*3+80</f>
        <v>1130</v>
      </c>
      <c r="T183" s="26">
        <f>S183*0.01125</f>
        <v>12.7125</v>
      </c>
      <c r="U183" s="26">
        <f>T183*0.75</f>
        <v>9.5343750000000007</v>
      </c>
      <c r="W183" s="26">
        <f>18*0.55*3.5</f>
        <v>34.65</v>
      </c>
    </row>
    <row r="184" spans="4:24" x14ac:dyDescent="0.25">
      <c r="S184" s="26">
        <f>S183/R186</f>
        <v>59.084967320261441</v>
      </c>
      <c r="U184" s="26">
        <f>5+2+5+12</f>
        <v>24</v>
      </c>
    </row>
    <row r="185" spans="4:24" x14ac:dyDescent="0.25">
      <c r="Q185" s="26">
        <f>70/5</f>
        <v>14</v>
      </c>
      <c r="R185" s="26">
        <f>5.5+3+5+12</f>
        <v>25.5</v>
      </c>
      <c r="T185" s="26">
        <f>(3.5+3+3+5+2+1+1)</f>
        <v>18.5</v>
      </c>
      <c r="U185" s="26">
        <f>U184*0.75</f>
        <v>18</v>
      </c>
    </row>
    <row r="186" spans="4:24" x14ac:dyDescent="0.25">
      <c r="Q186" s="26">
        <f>70/3</f>
        <v>23.333333333333332</v>
      </c>
      <c r="R186" s="26">
        <f>R185*0.75</f>
        <v>19.125</v>
      </c>
      <c r="T186" s="26">
        <f>(1+0.5+0.5+0.5+0.5)</f>
        <v>3</v>
      </c>
      <c r="U186" s="26">
        <f>U183+U185</f>
        <v>27.534375000000001</v>
      </c>
      <c r="V186" s="26">
        <f>0.95^144</f>
        <v>6.1972520754695261E-4</v>
      </c>
      <c r="X186" s="26">
        <f>0.95^3</f>
        <v>0.85737499999999989</v>
      </c>
    </row>
    <row r="187" spans="4:24" x14ac:dyDescent="0.25">
      <c r="K187" s="26" t="s">
        <v>2219</v>
      </c>
      <c r="L187" s="26" t="s">
        <v>2735</v>
      </c>
      <c r="M187" s="26" t="s">
        <v>1238</v>
      </c>
      <c r="S187" s="26">
        <f>5+2+7+S183*0.01125</f>
        <v>26.712499999999999</v>
      </c>
      <c r="V187" s="26">
        <f>0.05*0.1</f>
        <v>5.000000000000001E-3</v>
      </c>
    </row>
    <row r="188" spans="4:24" x14ac:dyDescent="0.25">
      <c r="K188" s="26" t="s">
        <v>3343</v>
      </c>
      <c r="L188" s="26" t="s">
        <v>2732</v>
      </c>
      <c r="M188" s="26" t="s">
        <v>3345</v>
      </c>
      <c r="P188" s="26" t="s">
        <v>3371</v>
      </c>
      <c r="S188" s="26">
        <f>S187*0.75</f>
        <v>20.034374999999997</v>
      </c>
      <c r="T188" s="26">
        <f>11-6-4-3-1</f>
        <v>-3</v>
      </c>
      <c r="V188" s="26">
        <f>1-V187</f>
        <v>0.995</v>
      </c>
    </row>
    <row r="189" spans="4:24" x14ac:dyDescent="0.25">
      <c r="K189" s="26" t="s">
        <v>1237</v>
      </c>
      <c r="L189" s="26" t="s">
        <v>2735</v>
      </c>
      <c r="M189" s="26" t="s">
        <v>3374</v>
      </c>
      <c r="P189" s="26" t="s">
        <v>2306</v>
      </c>
      <c r="R189" s="26" t="s">
        <v>3370</v>
      </c>
      <c r="T189" s="26">
        <f>R186*0.55*3.5</f>
        <v>36.815625000000004</v>
      </c>
      <c r="V189" s="26">
        <f>V188^144</f>
        <v>0.48587396373631858</v>
      </c>
    </row>
    <row r="190" spans="4:24" x14ac:dyDescent="0.25">
      <c r="D190" s="26">
        <v>0.25</v>
      </c>
      <c r="K190" s="26" t="s">
        <v>2494</v>
      </c>
      <c r="L190" s="26" t="s">
        <v>2735</v>
      </c>
      <c r="M190" s="26" t="s">
        <v>3373</v>
      </c>
      <c r="P190" s="26" t="s">
        <v>3368</v>
      </c>
      <c r="R190" s="26" t="s">
        <v>3369</v>
      </c>
      <c r="T190" s="26">
        <f>S183/T189</f>
        <v>30.693489517018925</v>
      </c>
    </row>
    <row r="191" spans="4:24" x14ac:dyDescent="0.25">
      <c r="D191" s="26">
        <v>0.05</v>
      </c>
      <c r="K191" s="26" t="s">
        <v>2491</v>
      </c>
      <c r="L191" s="26" t="s">
        <v>2735</v>
      </c>
      <c r="M191" s="26" t="s">
        <v>3372</v>
      </c>
    </row>
    <row r="192" spans="4:24" x14ac:dyDescent="0.25">
      <c r="D192" s="26">
        <f>D190*D191</f>
        <v>1.2500000000000001E-2</v>
      </c>
    </row>
    <row r="193" spans="2:22" x14ac:dyDescent="0.25">
      <c r="D193" s="26">
        <f>1-D192</f>
        <v>0.98750000000000004</v>
      </c>
      <c r="L193" s="26" t="s">
        <v>2735</v>
      </c>
      <c r="M193" s="26" t="s">
        <v>3372</v>
      </c>
      <c r="T193" s="26">
        <v>2400</v>
      </c>
    </row>
    <row r="194" spans="2:22" x14ac:dyDescent="0.25">
      <c r="D194" s="26">
        <f>D193^100</f>
        <v>0.28425651669511287</v>
      </c>
      <c r="T194" s="26" t="s">
        <v>3375</v>
      </c>
    </row>
    <row r="195" spans="2:22" x14ac:dyDescent="0.25">
      <c r="H195" s="26">
        <f>5.5+10+3</f>
        <v>18.5</v>
      </c>
    </row>
    <row r="196" spans="2:22" x14ac:dyDescent="0.25">
      <c r="E196" s="26" t="s">
        <v>2219</v>
      </c>
      <c r="F196" s="26" t="s">
        <v>2281</v>
      </c>
      <c r="H196" s="26">
        <f>H195*4</f>
        <v>74</v>
      </c>
      <c r="N196" s="26">
        <f>3285*2+900+450+450</f>
        <v>8370</v>
      </c>
    </row>
    <row r="197" spans="2:22" x14ac:dyDescent="0.25">
      <c r="E197" s="26" t="s">
        <v>2366</v>
      </c>
      <c r="F197" s="26" t="s">
        <v>158</v>
      </c>
      <c r="P197" s="26">
        <f>1800/6</f>
        <v>300</v>
      </c>
      <c r="V197" s="26">
        <f>6*3.5+6</f>
        <v>27</v>
      </c>
    </row>
    <row r="198" spans="2:22" x14ac:dyDescent="0.25">
      <c r="E198" s="26" t="s">
        <v>2223</v>
      </c>
      <c r="F198" s="26" t="s">
        <v>2367</v>
      </c>
      <c r="L198" s="26">
        <f>6*4*1000</f>
        <v>24000</v>
      </c>
      <c r="P198" s="26">
        <f>4.5*P197</f>
        <v>1350</v>
      </c>
      <c r="R198" s="26">
        <f>3.5*6*0.5</f>
        <v>10.5</v>
      </c>
      <c r="V198" s="26">
        <f>27*0.5</f>
        <v>13.5</v>
      </c>
    </row>
    <row r="199" spans="2:22" x14ac:dyDescent="0.25">
      <c r="L199" s="26">
        <f>1400*5</f>
        <v>7000</v>
      </c>
      <c r="P199" s="26">
        <f>P198/2</f>
        <v>675</v>
      </c>
      <c r="Q199" s="26">
        <f>80*4</f>
        <v>320</v>
      </c>
      <c r="R199" s="26">
        <f>3.5*6*0.5</f>
        <v>10.5</v>
      </c>
      <c r="V199" s="26">
        <f>27*0.5</f>
        <v>13.5</v>
      </c>
    </row>
    <row r="200" spans="2:22" x14ac:dyDescent="0.25">
      <c r="L200" s="26">
        <f>24000+L199+7000</f>
        <v>38000</v>
      </c>
      <c r="N200" s="26">
        <f>51*3+80</f>
        <v>233</v>
      </c>
      <c r="R200" s="26">
        <f>3.5*6*0.5</f>
        <v>10.5</v>
      </c>
      <c r="V200" s="26">
        <f>27*0.5</f>
        <v>13.5</v>
      </c>
    </row>
    <row r="201" spans="2:22" x14ac:dyDescent="0.25">
      <c r="R201" s="26">
        <f>3.5*6</f>
        <v>21</v>
      </c>
      <c r="V201" s="26">
        <f>AVERAGE(V197:V200)</f>
        <v>16.875</v>
      </c>
    </row>
    <row r="202" spans="2:22" x14ac:dyDescent="0.25">
      <c r="C202" s="26" t="s">
        <v>2219</v>
      </c>
      <c r="O202" s="26">
        <f>3.5*0.75</f>
        <v>2.625</v>
      </c>
      <c r="R202" s="26">
        <f>AVERAGE(R198:R201)</f>
        <v>13.125</v>
      </c>
      <c r="S202" s="26">
        <f>Q199/R202</f>
        <v>24.38095238095238</v>
      </c>
      <c r="V202" s="26">
        <f>V201*2</f>
        <v>33.75</v>
      </c>
    </row>
    <row r="203" spans="2:22" x14ac:dyDescent="0.25">
      <c r="B203" s="26" t="s">
        <v>3722</v>
      </c>
      <c r="C203" s="26" t="s">
        <v>3722</v>
      </c>
      <c r="L203" s="27" t="s">
        <v>1147</v>
      </c>
      <c r="O203" s="26">
        <f>N200/O202</f>
        <v>88.761904761904759</v>
      </c>
      <c r="R203" s="27" t="s">
        <v>3404</v>
      </c>
    </row>
    <row r="204" spans="2:22" x14ac:dyDescent="0.25">
      <c r="B204" s="26" t="s">
        <v>3728</v>
      </c>
      <c r="C204" s="26" t="s">
        <v>3728</v>
      </c>
      <c r="G204" s="26">
        <f>5-2-6</f>
        <v>-3</v>
      </c>
    </row>
    <row r="205" spans="2:22" x14ac:dyDescent="0.25">
      <c r="B205" s="26" t="s">
        <v>3729</v>
      </c>
      <c r="C205" s="26" t="s">
        <v>3748</v>
      </c>
      <c r="J205" s="26">
        <f>45*3+80</f>
        <v>215</v>
      </c>
      <c r="L205" s="30" t="s">
        <v>3486</v>
      </c>
      <c r="M205" s="28">
        <v>5</v>
      </c>
      <c r="N205" s="28" t="s">
        <v>3493</v>
      </c>
      <c r="O205" s="28"/>
      <c r="P205" s="28"/>
      <c r="Q205" s="28">
        <v>16</v>
      </c>
      <c r="R205" s="30" t="s">
        <v>3383</v>
      </c>
      <c r="S205" s="28">
        <v>4</v>
      </c>
      <c r="T205" s="28" t="s">
        <v>1234</v>
      </c>
    </row>
    <row r="206" spans="2:22" x14ac:dyDescent="0.25">
      <c r="B206" s="26" t="s">
        <v>3723</v>
      </c>
      <c r="C206" s="26" t="s">
        <v>3723</v>
      </c>
      <c r="G206" s="26">
        <f>3*0.5*(3.5+2+12)*0.75</f>
        <v>19.6875</v>
      </c>
      <c r="L206" s="30" t="s">
        <v>3492</v>
      </c>
      <c r="M206" s="28">
        <v>1</v>
      </c>
      <c r="N206" s="28" t="s">
        <v>3491</v>
      </c>
      <c r="O206" s="28"/>
      <c r="P206" s="28"/>
      <c r="Q206" s="28">
        <v>16</v>
      </c>
      <c r="R206" s="28" t="s">
        <v>3390</v>
      </c>
      <c r="S206" s="28">
        <v>4</v>
      </c>
      <c r="T206" s="28" t="s">
        <v>1078</v>
      </c>
      <c r="V206" s="26">
        <f>160/7</f>
        <v>22.857142857142858</v>
      </c>
    </row>
    <row r="207" spans="2:22" x14ac:dyDescent="0.25">
      <c r="B207" s="26" t="s">
        <v>3724</v>
      </c>
      <c r="C207" s="26" t="s">
        <v>3724</v>
      </c>
      <c r="G207" s="26">
        <f>350/G206</f>
        <v>17.777777777777779</v>
      </c>
      <c r="J207" s="26">
        <f>3*4</f>
        <v>12</v>
      </c>
      <c r="L207" s="30" t="s">
        <v>3490</v>
      </c>
      <c r="M207" s="28">
        <v>1</v>
      </c>
      <c r="N207" s="28" t="s">
        <v>3494</v>
      </c>
      <c r="O207" s="28"/>
      <c r="P207" s="28"/>
      <c r="Q207" s="28">
        <v>14</v>
      </c>
      <c r="R207" s="28" t="s">
        <v>3392</v>
      </c>
      <c r="S207" s="28">
        <v>5</v>
      </c>
      <c r="T207" s="28" t="s">
        <v>1234</v>
      </c>
    </row>
    <row r="208" spans="2:22" x14ac:dyDescent="0.25">
      <c r="B208" s="26" t="s">
        <v>3725</v>
      </c>
      <c r="C208" s="26" t="s">
        <v>3725</v>
      </c>
      <c r="K208" s="26">
        <v>12</v>
      </c>
      <c r="L208" s="28" t="s">
        <v>3377</v>
      </c>
      <c r="M208" s="28">
        <v>2</v>
      </c>
      <c r="N208" s="31" t="s">
        <v>3384</v>
      </c>
      <c r="O208" s="28"/>
      <c r="P208" s="28"/>
      <c r="Q208" s="28">
        <v>12</v>
      </c>
      <c r="R208" s="30" t="s">
        <v>3391</v>
      </c>
      <c r="S208" s="28">
        <v>5</v>
      </c>
      <c r="T208" s="28" t="s">
        <v>31</v>
      </c>
    </row>
    <row r="209" spans="2:33" x14ac:dyDescent="0.25">
      <c r="B209" s="26" t="s">
        <v>3726</v>
      </c>
      <c r="C209" s="26" t="s">
        <v>3726</v>
      </c>
      <c r="K209" s="26">
        <v>17</v>
      </c>
      <c r="L209" s="28" t="s">
        <v>3380</v>
      </c>
      <c r="M209" s="28">
        <v>2</v>
      </c>
      <c r="N209" s="31"/>
      <c r="O209" s="28"/>
      <c r="P209" s="28"/>
      <c r="Q209" s="28">
        <v>14</v>
      </c>
      <c r="R209" s="28" t="s">
        <v>3389</v>
      </c>
      <c r="S209" s="28">
        <v>6</v>
      </c>
      <c r="T209" s="28" t="s">
        <v>1078</v>
      </c>
    </row>
    <row r="210" spans="2:33" x14ac:dyDescent="0.25">
      <c r="B210" s="26" t="s">
        <v>3727</v>
      </c>
      <c r="C210" s="26" t="s">
        <v>3749</v>
      </c>
      <c r="G210" s="26">
        <f>54*5000/2</f>
        <v>135000</v>
      </c>
      <c r="K210" s="26">
        <v>5</v>
      </c>
      <c r="L210" s="28" t="s">
        <v>3386</v>
      </c>
      <c r="M210" s="28">
        <v>1</v>
      </c>
      <c r="N210" s="28" t="s">
        <v>3387</v>
      </c>
      <c r="O210" s="28"/>
      <c r="P210" s="28"/>
      <c r="Q210" s="28">
        <v>5</v>
      </c>
      <c r="R210" s="30" t="s">
        <v>3396</v>
      </c>
      <c r="S210" s="28">
        <v>8</v>
      </c>
      <c r="T210" s="28" t="s">
        <v>3397</v>
      </c>
      <c r="W210" s="26" t="s">
        <v>3710</v>
      </c>
      <c r="X210" s="26">
        <v>25</v>
      </c>
    </row>
    <row r="211" spans="2:33" x14ac:dyDescent="0.25">
      <c r="B211" s="26" t="s">
        <v>3730</v>
      </c>
      <c r="K211" s="26">
        <v>14</v>
      </c>
      <c r="L211" s="30" t="s">
        <v>1743</v>
      </c>
      <c r="M211" s="28">
        <v>3</v>
      </c>
      <c r="N211" s="28" t="s">
        <v>3382</v>
      </c>
      <c r="O211" s="28"/>
      <c r="P211" s="28"/>
      <c r="Q211" s="28">
        <v>11</v>
      </c>
      <c r="R211" s="28" t="s">
        <v>3395</v>
      </c>
      <c r="S211" s="28">
        <v>9</v>
      </c>
      <c r="T211" s="28" t="s">
        <v>2318</v>
      </c>
    </row>
    <row r="212" spans="2:33" x14ac:dyDescent="0.25">
      <c r="K212" s="26">
        <v>10</v>
      </c>
      <c r="L212" s="28" t="s">
        <v>3379</v>
      </c>
      <c r="M212" s="28">
        <v>4</v>
      </c>
      <c r="N212" s="28" t="s">
        <v>1902</v>
      </c>
      <c r="O212" s="28"/>
      <c r="P212" s="28"/>
      <c r="Q212" s="28"/>
      <c r="R212" s="28" t="s">
        <v>3393</v>
      </c>
      <c r="S212" s="28">
        <v>10</v>
      </c>
      <c r="T212" s="28" t="s">
        <v>3394</v>
      </c>
    </row>
    <row r="213" spans="2:33" x14ac:dyDescent="0.25">
      <c r="E213" s="26" t="s">
        <v>2219</v>
      </c>
      <c r="K213" s="26">
        <v>12</v>
      </c>
      <c r="L213" s="28" t="s">
        <v>3378</v>
      </c>
      <c r="M213" s="28">
        <v>5</v>
      </c>
      <c r="N213" s="31" t="s">
        <v>3384</v>
      </c>
      <c r="O213" s="28"/>
      <c r="P213" s="28"/>
      <c r="Q213" s="28">
        <v>8</v>
      </c>
      <c r="R213" s="30" t="s">
        <v>3399</v>
      </c>
      <c r="S213" s="28">
        <v>14</v>
      </c>
      <c r="T213" s="28"/>
    </row>
    <row r="214" spans="2:33" x14ac:dyDescent="0.25">
      <c r="E214" s="26" t="s">
        <v>2225</v>
      </c>
      <c r="K214" s="26">
        <v>14</v>
      </c>
      <c r="L214" s="28" t="s">
        <v>2530</v>
      </c>
      <c r="M214" s="28">
        <v>5</v>
      </c>
      <c r="N214" s="31" t="s">
        <v>3388</v>
      </c>
      <c r="O214" s="28"/>
      <c r="P214" s="28"/>
      <c r="Q214" s="28">
        <v>7</v>
      </c>
      <c r="R214" s="28" t="s">
        <v>3398</v>
      </c>
      <c r="S214" s="28">
        <v>16</v>
      </c>
      <c r="T214" s="28"/>
    </row>
    <row r="215" spans="2:33" x14ac:dyDescent="0.25">
      <c r="B215" s="26" t="s">
        <v>3750</v>
      </c>
      <c r="C215" s="26" t="s">
        <v>3739</v>
      </c>
      <c r="D215" s="26">
        <v>3</v>
      </c>
      <c r="E215" s="27" t="s">
        <v>3731</v>
      </c>
      <c r="F215" s="26" t="s">
        <v>31</v>
      </c>
      <c r="H215" s="26">
        <f>(5+1+2)*3+8</f>
        <v>32</v>
      </c>
      <c r="K215" s="26">
        <v>14</v>
      </c>
      <c r="L215" s="28" t="s">
        <v>3381</v>
      </c>
      <c r="M215" s="28">
        <v>5</v>
      </c>
      <c r="N215" s="28" t="s">
        <v>3385</v>
      </c>
      <c r="O215" s="28"/>
      <c r="P215" s="28"/>
      <c r="Q215" s="28"/>
      <c r="R215" s="28"/>
      <c r="S215" s="28"/>
      <c r="T215" s="28"/>
      <c r="W215" s="26">
        <f>6*10+40</f>
        <v>100</v>
      </c>
    </row>
    <row r="216" spans="2:33" x14ac:dyDescent="0.25">
      <c r="B216" s="26" t="s">
        <v>3751</v>
      </c>
      <c r="C216" s="26" t="s">
        <v>3656</v>
      </c>
      <c r="D216" s="26">
        <v>5</v>
      </c>
      <c r="E216" s="26" t="s">
        <v>3732</v>
      </c>
      <c r="F216" s="26" t="s">
        <v>620</v>
      </c>
      <c r="H216" s="26">
        <f>(3.5+9+1)*3+8</f>
        <v>48.5</v>
      </c>
      <c r="L216" s="30" t="s">
        <v>3376</v>
      </c>
      <c r="M216" s="28">
        <v>5</v>
      </c>
      <c r="N216" s="28" t="s">
        <v>3382</v>
      </c>
      <c r="O216" s="28"/>
      <c r="P216" s="28"/>
      <c r="Q216" s="28"/>
      <c r="R216" s="28"/>
      <c r="S216" s="28"/>
      <c r="T216" s="28"/>
    </row>
    <row r="217" spans="2:33" x14ac:dyDescent="0.25">
      <c r="B217" s="26" t="s">
        <v>3752</v>
      </c>
      <c r="C217" s="26" t="s">
        <v>3384</v>
      </c>
      <c r="D217" s="26">
        <v>3</v>
      </c>
      <c r="E217" s="26" t="s">
        <v>3738</v>
      </c>
      <c r="F217" s="26" t="s">
        <v>1545</v>
      </c>
      <c r="K217" s="26">
        <v>16</v>
      </c>
      <c r="L217" s="28" t="s">
        <v>3421</v>
      </c>
      <c r="M217" s="28">
        <v>3</v>
      </c>
      <c r="N217" s="28" t="s">
        <v>3384</v>
      </c>
      <c r="O217" s="28"/>
      <c r="P217" s="28"/>
      <c r="Q217" s="28"/>
      <c r="R217" s="28"/>
      <c r="S217" s="28"/>
      <c r="T217" s="28"/>
    </row>
    <row r="218" spans="2:33" x14ac:dyDescent="0.25">
      <c r="C218" s="26" t="s">
        <v>3384</v>
      </c>
      <c r="D218" s="26">
        <v>3</v>
      </c>
      <c r="E218" s="26" t="s">
        <v>3733</v>
      </c>
      <c r="K218" s="26">
        <v>14</v>
      </c>
      <c r="L218" s="28" t="s">
        <v>3422</v>
      </c>
      <c r="M218" s="28">
        <v>5</v>
      </c>
      <c r="N218" s="28"/>
      <c r="O218" s="28"/>
      <c r="P218" s="28">
        <f>13-4-7-1-1</f>
        <v>0</v>
      </c>
      <c r="Q218" s="28"/>
      <c r="R218" s="28"/>
      <c r="S218" s="28"/>
      <c r="T218" s="28"/>
    </row>
    <row r="219" spans="2:33" x14ac:dyDescent="0.25">
      <c r="C219" s="26" t="s">
        <v>3656</v>
      </c>
      <c r="D219" s="26">
        <v>1</v>
      </c>
      <c r="E219" s="26" t="s">
        <v>3736</v>
      </c>
      <c r="F219" s="26" t="s">
        <v>31</v>
      </c>
      <c r="H219" s="26">
        <f>(3.5+3+1)*3+8</f>
        <v>30.5</v>
      </c>
      <c r="K219" s="26">
        <v>16</v>
      </c>
      <c r="L219" s="30" t="s">
        <v>3423</v>
      </c>
      <c r="M219" s="28">
        <v>3</v>
      </c>
      <c r="N219" s="28"/>
      <c r="O219" s="28"/>
      <c r="P219" s="28"/>
      <c r="Q219" s="28"/>
      <c r="R219" s="28" t="s">
        <v>3400</v>
      </c>
      <c r="S219" s="28"/>
      <c r="T219" s="28"/>
    </row>
    <row r="220" spans="2:33" x14ac:dyDescent="0.25">
      <c r="C220" s="26" t="s">
        <v>3385</v>
      </c>
      <c r="D220" s="26">
        <v>2</v>
      </c>
      <c r="E220" s="26" t="s">
        <v>3737</v>
      </c>
      <c r="K220" s="26">
        <v>16</v>
      </c>
      <c r="L220" s="28" t="s">
        <v>3424</v>
      </c>
      <c r="M220" s="28">
        <v>3</v>
      </c>
      <c r="N220" s="28"/>
      <c r="O220" s="28"/>
      <c r="P220" s="28"/>
      <c r="Q220" s="28"/>
      <c r="R220" s="28" t="s">
        <v>3401</v>
      </c>
      <c r="S220" s="28"/>
      <c r="T220" s="28"/>
    </row>
    <row r="221" spans="2:33" x14ac:dyDescent="0.25">
      <c r="D221" s="26">
        <v>5</v>
      </c>
      <c r="E221" s="26" t="s">
        <v>3734</v>
      </c>
      <c r="F221" s="26" t="s">
        <v>618</v>
      </c>
      <c r="K221" s="26">
        <v>12</v>
      </c>
      <c r="L221" s="28" t="s">
        <v>3425</v>
      </c>
      <c r="M221" s="28">
        <v>4</v>
      </c>
      <c r="N221" s="28"/>
      <c r="O221" s="28"/>
      <c r="P221" s="28"/>
      <c r="Q221" s="28"/>
      <c r="R221" s="28" t="s">
        <v>3402</v>
      </c>
      <c r="S221" s="28"/>
      <c r="T221" s="28"/>
      <c r="AG221" s="26" t="s">
        <v>3705</v>
      </c>
    </row>
    <row r="222" spans="2:33" x14ac:dyDescent="0.25">
      <c r="C222" s="26" t="s">
        <v>3384</v>
      </c>
      <c r="D222" s="26">
        <v>4</v>
      </c>
      <c r="E222" s="26" t="s">
        <v>3735</v>
      </c>
      <c r="F222" s="26" t="s">
        <v>1801</v>
      </c>
      <c r="K222" s="26">
        <v>13</v>
      </c>
      <c r="L222" s="30" t="s">
        <v>1730</v>
      </c>
      <c r="M222" s="28">
        <v>3</v>
      </c>
      <c r="N222" s="28" t="s">
        <v>3384</v>
      </c>
      <c r="O222" s="28"/>
      <c r="P222" s="28"/>
      <c r="Q222" s="28"/>
      <c r="R222" s="28" t="s">
        <v>3403</v>
      </c>
      <c r="S222" s="28"/>
      <c r="T222" s="28"/>
      <c r="AG222" s="26" t="s">
        <v>764</v>
      </c>
    </row>
    <row r="223" spans="2:33" x14ac:dyDescent="0.25">
      <c r="C223" s="26" t="s">
        <v>3741</v>
      </c>
      <c r="D223" s="26">
        <v>4</v>
      </c>
      <c r="E223" s="26" t="s">
        <v>3740</v>
      </c>
      <c r="F223" s="26" t="s">
        <v>1545</v>
      </c>
      <c r="K223" s="26">
        <v>16</v>
      </c>
      <c r="L223" s="28" t="s">
        <v>3426</v>
      </c>
      <c r="M223" s="28">
        <v>4</v>
      </c>
      <c r="N223" s="28"/>
      <c r="O223" s="28"/>
      <c r="P223" s="28"/>
      <c r="Q223" s="28"/>
      <c r="R223" s="28"/>
      <c r="S223" s="28"/>
      <c r="T223" s="28"/>
      <c r="AG223" s="26" t="s">
        <v>3706</v>
      </c>
    </row>
    <row r="224" spans="2:33" x14ac:dyDescent="0.25">
      <c r="C224" s="26" t="s">
        <v>3384</v>
      </c>
      <c r="D224" s="26" t="s">
        <v>3743</v>
      </c>
      <c r="E224" s="26" t="s">
        <v>3742</v>
      </c>
      <c r="K224" s="26">
        <v>16</v>
      </c>
      <c r="L224" s="30" t="s">
        <v>3427</v>
      </c>
      <c r="M224" s="28">
        <v>2</v>
      </c>
      <c r="N224" s="31" t="s">
        <v>3428</v>
      </c>
      <c r="O224" s="28"/>
      <c r="P224" s="28"/>
      <c r="Q224" s="28"/>
      <c r="R224" s="28" t="s">
        <v>3455</v>
      </c>
      <c r="S224" s="28"/>
      <c r="T224" s="28"/>
      <c r="AG224" s="26" t="s">
        <v>3707</v>
      </c>
    </row>
    <row r="225" spans="2:33" x14ac:dyDescent="0.25">
      <c r="D225" s="26">
        <v>1</v>
      </c>
      <c r="E225" s="26" t="s">
        <v>3744</v>
      </c>
      <c r="K225" s="26">
        <v>12</v>
      </c>
      <c r="L225" s="28" t="s">
        <v>3429</v>
      </c>
      <c r="M225" s="28">
        <v>5</v>
      </c>
      <c r="N225" s="31" t="s">
        <v>3428</v>
      </c>
      <c r="O225" s="28"/>
      <c r="P225" s="28"/>
      <c r="Q225" s="28"/>
      <c r="R225" s="28" t="s">
        <v>3456</v>
      </c>
      <c r="S225" s="28"/>
      <c r="T225" s="28"/>
      <c r="AD225" s="26" t="s">
        <v>3684</v>
      </c>
    </row>
    <row r="226" spans="2:33" x14ac:dyDescent="0.25">
      <c r="D226" s="26">
        <v>5</v>
      </c>
      <c r="E226" s="26" t="s">
        <v>3747</v>
      </c>
      <c r="F226" s="26" t="s">
        <v>617</v>
      </c>
      <c r="K226" s="26">
        <v>14</v>
      </c>
      <c r="L226" s="30" t="s">
        <v>3488</v>
      </c>
      <c r="M226" s="28">
        <v>2</v>
      </c>
      <c r="N226" s="28" t="s">
        <v>3489</v>
      </c>
      <c r="O226" s="28"/>
      <c r="P226" s="28"/>
      <c r="Q226" s="28"/>
      <c r="R226" s="28" t="s">
        <v>3457</v>
      </c>
      <c r="S226" s="28"/>
      <c r="T226" s="28"/>
      <c r="AD226" s="26" t="s">
        <v>3633</v>
      </c>
    </row>
    <row r="227" spans="2:33" x14ac:dyDescent="0.25">
      <c r="D227" s="26" t="s">
        <v>3743</v>
      </c>
      <c r="E227" s="26" t="s">
        <v>3745</v>
      </c>
      <c r="F227" s="26" t="s">
        <v>617</v>
      </c>
      <c r="L227" s="28"/>
      <c r="M227" s="28"/>
      <c r="N227" s="28"/>
      <c r="O227" s="28"/>
      <c r="P227" s="28"/>
      <c r="Q227" s="28"/>
      <c r="R227" s="28"/>
      <c r="S227" s="28"/>
      <c r="T227" s="28"/>
      <c r="AD227" s="26" t="s">
        <v>3687</v>
      </c>
    </row>
    <row r="228" spans="2:33" x14ac:dyDescent="0.25">
      <c r="D228" s="26">
        <v>5</v>
      </c>
      <c r="E228" s="26" t="s">
        <v>3746</v>
      </c>
      <c r="F228" s="26" t="s">
        <v>617</v>
      </c>
      <c r="H228" s="26">
        <f>-10-5-2-2-1-3-1</f>
        <v>-24</v>
      </c>
      <c r="L228" s="26" t="s">
        <v>2790</v>
      </c>
      <c r="AD228" s="26" t="s">
        <v>3704</v>
      </c>
    </row>
    <row r="229" spans="2:33" x14ac:dyDescent="0.25">
      <c r="B229" s="26" t="s">
        <v>2219</v>
      </c>
      <c r="C229" s="26">
        <f>3.96</f>
        <v>3.96</v>
      </c>
      <c r="G229" s="26">
        <f>252151+172500</f>
        <v>424651</v>
      </c>
      <c r="P229" s="26">
        <f>0.95^6</f>
        <v>0.73509189062499991</v>
      </c>
      <c r="R229" s="26">
        <f>32*7/4</f>
        <v>56</v>
      </c>
      <c r="U229" s="26" t="s">
        <v>140</v>
      </c>
      <c r="W229" s="26" t="s">
        <v>3692</v>
      </c>
      <c r="Y229" s="26" t="s">
        <v>3691</v>
      </c>
      <c r="AA229" s="26" t="s">
        <v>3690</v>
      </c>
    </row>
    <row r="230" spans="2:33" x14ac:dyDescent="0.25">
      <c r="B230" s="26" t="s">
        <v>3731</v>
      </c>
      <c r="C230" s="26">
        <v>3960000</v>
      </c>
      <c r="L230" s="26" t="s">
        <v>1702</v>
      </c>
      <c r="M230" s="26">
        <v>4</v>
      </c>
    </row>
    <row r="231" spans="2:33" x14ac:dyDescent="0.25">
      <c r="B231" s="26" t="s">
        <v>3732</v>
      </c>
      <c r="C231" s="26">
        <f>C230*2</f>
        <v>7920000</v>
      </c>
      <c r="D231" s="26">
        <f>6*52000/3</f>
        <v>104000</v>
      </c>
      <c r="E231" s="26">
        <f>68*5000/2</f>
        <v>170000</v>
      </c>
      <c r="I231" s="26">
        <f>4*3</f>
        <v>12</v>
      </c>
      <c r="L231" s="26" t="s">
        <v>3405</v>
      </c>
      <c r="M231" s="26">
        <v>14</v>
      </c>
      <c r="R231" s="26">
        <f>10*(7+14+5)</f>
        <v>260</v>
      </c>
      <c r="S231" s="26" t="s">
        <v>3684</v>
      </c>
      <c r="U231" s="26" t="s">
        <v>3684</v>
      </c>
      <c r="W231" s="26" t="s">
        <v>3684</v>
      </c>
      <c r="Y231" s="26" t="s">
        <v>3684</v>
      </c>
      <c r="AA231" s="26" t="s">
        <v>3684</v>
      </c>
      <c r="AE231" s="26" t="s">
        <v>3684</v>
      </c>
      <c r="AG231" s="26" t="s">
        <v>3684</v>
      </c>
    </row>
    <row r="232" spans="2:33" x14ac:dyDescent="0.25">
      <c r="B232" s="26" t="s">
        <v>3759</v>
      </c>
      <c r="C232" s="26">
        <f>C231/6</f>
        <v>1320000</v>
      </c>
      <c r="L232" s="26" t="s">
        <v>3709</v>
      </c>
      <c r="M232" s="26">
        <v>14</v>
      </c>
      <c r="N232" s="26" t="s">
        <v>3433</v>
      </c>
      <c r="R232" s="26">
        <f>8*(6.5+12+14)</f>
        <v>260</v>
      </c>
      <c r="S232" s="26" t="s">
        <v>3680</v>
      </c>
      <c r="U232" s="26" t="s">
        <v>3633</v>
      </c>
      <c r="W232" s="26" t="s">
        <v>3681</v>
      </c>
      <c r="Y232" s="26" t="s">
        <v>3681</v>
      </c>
      <c r="AA232" s="26" t="s">
        <v>3681</v>
      </c>
      <c r="AE232" s="26" t="s">
        <v>3681</v>
      </c>
      <c r="AG232" s="26" t="s">
        <v>3681</v>
      </c>
    </row>
    <row r="233" spans="2:33" x14ac:dyDescent="0.25">
      <c r="B233" s="26" t="s">
        <v>3760</v>
      </c>
      <c r="D233" s="26" t="s">
        <v>3761</v>
      </c>
      <c r="K233" s="26" t="s">
        <v>3431</v>
      </c>
      <c r="L233" s="26" t="s">
        <v>3430</v>
      </c>
      <c r="M233" s="26">
        <v>8</v>
      </c>
      <c r="N233" s="26" t="s">
        <v>1545</v>
      </c>
      <c r="S233" s="26" t="s">
        <v>3633</v>
      </c>
      <c r="U233" s="26" t="s">
        <v>3648</v>
      </c>
      <c r="W233" s="26" t="s">
        <v>3687</v>
      </c>
      <c r="Y233" s="26" t="s">
        <v>3687</v>
      </c>
      <c r="AA233" s="26" t="s">
        <v>3687</v>
      </c>
      <c r="AE233" s="26" t="s">
        <v>3704</v>
      </c>
      <c r="AG233" s="26" t="s">
        <v>3704</v>
      </c>
    </row>
    <row r="234" spans="2:33" x14ac:dyDescent="0.25">
      <c r="B234" s="26" t="s">
        <v>3762</v>
      </c>
      <c r="J234" s="26" t="s">
        <v>754</v>
      </c>
      <c r="L234" s="26" t="s">
        <v>2226</v>
      </c>
      <c r="M234" s="26" t="s">
        <v>3432</v>
      </c>
      <c r="S234" s="26" t="s">
        <v>3648</v>
      </c>
      <c r="U234" s="26" t="s">
        <v>3687</v>
      </c>
      <c r="W234" s="26" t="s">
        <v>3688</v>
      </c>
      <c r="Y234" s="26" t="s">
        <v>3688</v>
      </c>
      <c r="AA234" s="26" t="s">
        <v>3686</v>
      </c>
      <c r="AE234" s="26" t="s">
        <v>3687</v>
      </c>
      <c r="AG234" s="26" t="s">
        <v>3682</v>
      </c>
    </row>
    <row r="235" spans="2:33" x14ac:dyDescent="0.25">
      <c r="B235" s="26" t="s">
        <v>3753</v>
      </c>
      <c r="D235" s="26">
        <f>20000*10/3</f>
        <v>66666.666666666672</v>
      </c>
      <c r="F235" s="26">
        <f>20*(1+1+1+1+1)</f>
        <v>100</v>
      </c>
      <c r="G235" s="26">
        <f>20*(1+1+1+1+1)</f>
        <v>100</v>
      </c>
      <c r="J235" s="26" t="s">
        <v>3409</v>
      </c>
      <c r="L235" s="26" t="s">
        <v>3414</v>
      </c>
      <c r="M235" s="26">
        <v>6</v>
      </c>
      <c r="O235" s="26">
        <f>4+8+1</f>
        <v>13</v>
      </c>
      <c r="S235" s="26" t="s">
        <v>3681</v>
      </c>
      <c r="U235" s="26" t="s">
        <v>3689</v>
      </c>
      <c r="W235" s="26" t="s">
        <v>3689</v>
      </c>
      <c r="Y235" s="26" t="s">
        <v>3689</v>
      </c>
      <c r="AA235" s="26" t="s">
        <v>3683</v>
      </c>
      <c r="AC235" s="26" t="s">
        <v>2219</v>
      </c>
      <c r="AE235" s="26" t="s">
        <v>3689</v>
      </c>
      <c r="AG235" s="26" t="s">
        <v>3683</v>
      </c>
    </row>
    <row r="236" spans="2:33" x14ac:dyDescent="0.25">
      <c r="B236" s="26" t="s">
        <v>3737</v>
      </c>
      <c r="F236" s="26">
        <f>F235*7000</f>
        <v>700000</v>
      </c>
      <c r="G236" s="26">
        <f>G235*20000</f>
        <v>2000000</v>
      </c>
      <c r="J236" s="26" t="s">
        <v>3410</v>
      </c>
      <c r="L236" s="26" t="s">
        <v>3415</v>
      </c>
      <c r="M236" s="26">
        <v>5</v>
      </c>
      <c r="P236" s="26">
        <f>2.5*6/2</f>
        <v>7.5</v>
      </c>
      <c r="S236" s="26" t="s">
        <v>3682</v>
      </c>
      <c r="U236" s="26" t="s">
        <v>3646</v>
      </c>
      <c r="W236" s="26" t="s">
        <v>3646</v>
      </c>
      <c r="Y236" s="26" t="s">
        <v>3646</v>
      </c>
      <c r="AA236" s="26" t="s">
        <v>3689</v>
      </c>
      <c r="AC236" s="26" t="s">
        <v>3680</v>
      </c>
      <c r="AE236" s="26" t="s">
        <v>3686</v>
      </c>
      <c r="AG236" s="26" t="s">
        <v>3686</v>
      </c>
    </row>
    <row r="237" spans="2:33" x14ac:dyDescent="0.25">
      <c r="J237" s="26" t="s">
        <v>3411</v>
      </c>
      <c r="L237" s="26" t="s">
        <v>3406</v>
      </c>
      <c r="O237" s="26">
        <f>1.75/2</f>
        <v>0.875</v>
      </c>
      <c r="S237" s="26" t="s">
        <v>3683</v>
      </c>
      <c r="AA237" s="26" t="s">
        <v>3682</v>
      </c>
      <c r="AC237" s="26" t="s">
        <v>3633</v>
      </c>
    </row>
    <row r="238" spans="2:33" x14ac:dyDescent="0.25">
      <c r="F238" s="26">
        <f>184/25</f>
        <v>7.36</v>
      </c>
      <c r="J238" s="26" t="s">
        <v>3412</v>
      </c>
      <c r="L238" s="26" t="s">
        <v>3407</v>
      </c>
      <c r="M238" s="26" t="s">
        <v>3436</v>
      </c>
      <c r="S238" s="26" t="s">
        <v>3646</v>
      </c>
      <c r="U238" s="26" t="s">
        <v>3644</v>
      </c>
      <c r="AA238" s="26" t="s">
        <v>3695</v>
      </c>
      <c r="AC238" s="26" t="s">
        <v>3648</v>
      </c>
    </row>
    <row r="239" spans="2:33" x14ac:dyDescent="0.25">
      <c r="B239" s="26">
        <f>7000*38</f>
        <v>266000</v>
      </c>
      <c r="J239" s="26" t="s">
        <v>3413</v>
      </c>
      <c r="L239" s="26" t="s">
        <v>3408</v>
      </c>
      <c r="M239" s="26" t="s">
        <v>3581</v>
      </c>
      <c r="P239" s="26" t="s">
        <v>2718</v>
      </c>
      <c r="S239" s="26" t="s">
        <v>3632</v>
      </c>
      <c r="W239" s="26" t="s">
        <v>3644</v>
      </c>
      <c r="Y239" s="26" t="s">
        <v>3644</v>
      </c>
      <c r="AC239" s="26" t="s">
        <v>3687</v>
      </c>
    </row>
    <row r="240" spans="2:33" x14ac:dyDescent="0.25">
      <c r="B240" s="26">
        <f>50*20000</f>
        <v>1000000</v>
      </c>
      <c r="E240" s="26">
        <f>0.4</f>
        <v>0.4</v>
      </c>
      <c r="G240" s="26">
        <f>10-7-5-2-1-1</f>
        <v>-6</v>
      </c>
      <c r="J240" s="26" t="s">
        <v>3416</v>
      </c>
      <c r="L240" s="26" t="s">
        <v>3434</v>
      </c>
      <c r="M240" s="26">
        <v>9</v>
      </c>
      <c r="P240" s="26" t="s">
        <v>3754</v>
      </c>
      <c r="S240" s="26" t="s">
        <v>3685</v>
      </c>
      <c r="U240" s="26" t="s">
        <v>3694</v>
      </c>
      <c r="AC240" s="26" t="s">
        <v>3634</v>
      </c>
    </row>
    <row r="241" spans="2:29" x14ac:dyDescent="0.25">
      <c r="C241" s="26">
        <f>1/9*6</f>
        <v>0.66666666666666663</v>
      </c>
      <c r="E241" s="26">
        <v>0.5</v>
      </c>
      <c r="J241" s="26" t="s">
        <v>2288</v>
      </c>
      <c r="L241" s="28" t="s">
        <v>3435</v>
      </c>
      <c r="M241" s="26">
        <v>23</v>
      </c>
      <c r="P241" s="26" t="s">
        <v>3755</v>
      </c>
      <c r="S241" s="26" t="s">
        <v>3686</v>
      </c>
      <c r="U241" s="26" t="s">
        <v>3693</v>
      </c>
    </row>
    <row r="242" spans="2:29" x14ac:dyDescent="0.25">
      <c r="B242" s="26">
        <f>C241*9</f>
        <v>6</v>
      </c>
      <c r="C242" s="26">
        <f>C241*2</f>
        <v>1.3333333333333333</v>
      </c>
      <c r="E242" s="26">
        <f>E240*E241</f>
        <v>0.2</v>
      </c>
      <c r="J242" s="26" t="s">
        <v>3417</v>
      </c>
      <c r="L242" s="26" t="s">
        <v>3437</v>
      </c>
      <c r="M242" s="26">
        <v>20</v>
      </c>
      <c r="N242" s="26" t="s">
        <v>3438</v>
      </c>
      <c r="P242" s="26" t="s">
        <v>3756</v>
      </c>
      <c r="S242" s="26" t="s">
        <v>3687</v>
      </c>
      <c r="AC242" s="26" t="s">
        <v>3701</v>
      </c>
    </row>
    <row r="243" spans="2:29" x14ac:dyDescent="0.25">
      <c r="E243" s="26">
        <f>0.8^2</f>
        <v>0.64000000000000012</v>
      </c>
      <c r="F243" s="26">
        <f>0.8^10</f>
        <v>0.10737418240000011</v>
      </c>
      <c r="J243" s="26" t="s">
        <v>3418</v>
      </c>
      <c r="L243" s="26" t="s">
        <v>3439</v>
      </c>
      <c r="M243" s="26">
        <v>10</v>
      </c>
      <c r="P243" s="26" t="s">
        <v>3709</v>
      </c>
      <c r="S243" s="26" t="s">
        <v>3688</v>
      </c>
      <c r="Z243" s="26">
        <f>6-2-2-2-2-1</f>
        <v>-3</v>
      </c>
    </row>
    <row r="244" spans="2:29" x14ac:dyDescent="0.25">
      <c r="C244" s="26" t="s">
        <v>3763</v>
      </c>
      <c r="H244" s="26">
        <f>14*3.5*3*0.5</f>
        <v>73.5</v>
      </c>
      <c r="J244" s="26" t="s">
        <v>3419</v>
      </c>
      <c r="L244" s="26" t="s">
        <v>3440</v>
      </c>
      <c r="M244" s="26">
        <v>10</v>
      </c>
      <c r="N244" s="26" t="s">
        <v>3441</v>
      </c>
      <c r="S244" s="26" t="s">
        <v>3695</v>
      </c>
      <c r="AC244" s="26" t="s">
        <v>3699</v>
      </c>
    </row>
    <row r="245" spans="2:29" x14ac:dyDescent="0.25">
      <c r="C245" s="26">
        <f>262/6</f>
        <v>43.666666666666664</v>
      </c>
      <c r="D245" s="26">
        <f>C245-42</f>
        <v>1.6666666666666643</v>
      </c>
      <c r="L245" s="26" t="s">
        <v>3442</v>
      </c>
      <c r="M245" s="26" t="s">
        <v>3443</v>
      </c>
      <c r="S245" s="26" t="s">
        <v>3696</v>
      </c>
    </row>
    <row r="246" spans="2:29" x14ac:dyDescent="0.25">
      <c r="C246" s="26">
        <f>C241*9</f>
        <v>6</v>
      </c>
      <c r="L246" s="26" t="s">
        <v>3448</v>
      </c>
      <c r="M246" s="26">
        <v>7</v>
      </c>
      <c r="N246" s="26" t="s">
        <v>31</v>
      </c>
      <c r="X246" s="26" t="s">
        <v>3632</v>
      </c>
      <c r="AC246" s="26" t="s">
        <v>3700</v>
      </c>
    </row>
    <row r="247" spans="2:29" x14ac:dyDescent="0.25">
      <c r="B247" s="26">
        <f>5/9</f>
        <v>0.55555555555555558</v>
      </c>
      <c r="D247" s="26" t="s">
        <v>3764</v>
      </c>
      <c r="L247" s="26" t="s">
        <v>3449</v>
      </c>
      <c r="M247" s="26">
        <v>20</v>
      </c>
      <c r="N247" s="26" t="s">
        <v>3708</v>
      </c>
      <c r="T247" s="26" t="s">
        <v>3633</v>
      </c>
      <c r="V247" s="26" t="s">
        <v>3633</v>
      </c>
    </row>
    <row r="248" spans="2:29" x14ac:dyDescent="0.25">
      <c r="I248" s="26">
        <f>5*52000/6</f>
        <v>43333.333333333336</v>
      </c>
      <c r="L248" s="26" t="s">
        <v>3450</v>
      </c>
      <c r="M248" s="26">
        <v>20</v>
      </c>
      <c r="N248" s="26" t="s">
        <v>3451</v>
      </c>
      <c r="T248" s="26" t="s">
        <v>3634</v>
      </c>
      <c r="V248" s="26" t="s">
        <v>3644</v>
      </c>
      <c r="X248" s="26" t="s">
        <v>3635</v>
      </c>
      <c r="AC248" s="26" t="s">
        <v>3702</v>
      </c>
    </row>
    <row r="249" spans="2:29" x14ac:dyDescent="0.25">
      <c r="B249" s="26" t="s">
        <v>3765</v>
      </c>
      <c r="L249" s="26" t="s">
        <v>3452</v>
      </c>
      <c r="M249" s="26">
        <v>8</v>
      </c>
      <c r="N249" s="26" t="s">
        <v>31</v>
      </c>
      <c r="S249" s="26">
        <v>20</v>
      </c>
      <c r="T249" s="27" t="s">
        <v>3631</v>
      </c>
      <c r="V249" s="26" t="s">
        <v>3645</v>
      </c>
    </row>
    <row r="250" spans="2:29" x14ac:dyDescent="0.25">
      <c r="B250" s="26" t="s">
        <v>3766</v>
      </c>
      <c r="L250" s="26" t="s">
        <v>3453</v>
      </c>
      <c r="M250" s="26">
        <v>3</v>
      </c>
      <c r="N250" s="26" t="s">
        <v>31</v>
      </c>
      <c r="S250" s="26">
        <v>20</v>
      </c>
      <c r="T250" s="26" t="s">
        <v>3632</v>
      </c>
      <c r="V250" s="26" t="s">
        <v>3646</v>
      </c>
      <c r="AC250" s="26" t="s">
        <v>3697</v>
      </c>
    </row>
    <row r="251" spans="2:29" x14ac:dyDescent="0.25">
      <c r="B251" s="26" t="s">
        <v>3767</v>
      </c>
      <c r="L251" s="26" t="s">
        <v>3454</v>
      </c>
      <c r="M251" s="26">
        <v>3</v>
      </c>
      <c r="N251" s="26" t="s">
        <v>30</v>
      </c>
      <c r="S251" s="26">
        <v>8</v>
      </c>
      <c r="T251" s="26" t="s">
        <v>3635</v>
      </c>
    </row>
    <row r="252" spans="2:29" x14ac:dyDescent="0.25">
      <c r="B252" s="26" t="s">
        <v>3768</v>
      </c>
      <c r="K252" s="26" t="s">
        <v>3637</v>
      </c>
      <c r="L252" s="26" t="s">
        <v>3636</v>
      </c>
      <c r="M252" s="26">
        <v>14</v>
      </c>
      <c r="N252" s="26" t="s">
        <v>3638</v>
      </c>
      <c r="S252" s="26">
        <v>9</v>
      </c>
      <c r="T252" s="26" t="s">
        <v>3643</v>
      </c>
      <c r="AC252" s="26" t="s">
        <v>3698</v>
      </c>
    </row>
    <row r="253" spans="2:29" x14ac:dyDescent="0.25">
      <c r="B253" s="26" t="s">
        <v>3769</v>
      </c>
      <c r="L253" s="26" t="s">
        <v>3639</v>
      </c>
      <c r="M253" s="26">
        <v>9</v>
      </c>
      <c r="N253" s="26" t="s">
        <v>618</v>
      </c>
      <c r="S253" s="26">
        <v>6</v>
      </c>
      <c r="T253" s="26" t="s">
        <v>3644</v>
      </c>
    </row>
    <row r="254" spans="2:29" x14ac:dyDescent="0.25">
      <c r="B254" s="26" t="s">
        <v>3770</v>
      </c>
      <c r="I254" s="26">
        <v>1</v>
      </c>
      <c r="J254" s="26">
        <v>2</v>
      </c>
      <c r="K254" s="26" t="s">
        <v>3637</v>
      </c>
      <c r="L254" s="26" t="s">
        <v>3640</v>
      </c>
      <c r="M254" s="26" t="s">
        <v>3641</v>
      </c>
      <c r="N254" s="26" t="s">
        <v>3642</v>
      </c>
      <c r="R254" s="26">
        <f>10*(3.5+3+5+1+12)</f>
        <v>245</v>
      </c>
      <c r="S254" s="26">
        <v>14</v>
      </c>
      <c r="T254" s="27" t="s">
        <v>3645</v>
      </c>
      <c r="AC254" s="26" t="s">
        <v>3703</v>
      </c>
    </row>
    <row r="255" spans="2:29" x14ac:dyDescent="0.25">
      <c r="I255" s="26">
        <v>2</v>
      </c>
      <c r="J255" s="26">
        <v>3</v>
      </c>
      <c r="L255" s="26" t="s">
        <v>3647</v>
      </c>
      <c r="M255" s="26">
        <v>22</v>
      </c>
      <c r="S255" s="26">
        <v>22</v>
      </c>
      <c r="T255" s="27" t="s">
        <v>3648</v>
      </c>
    </row>
    <row r="256" spans="2:29" x14ac:dyDescent="0.25">
      <c r="B256" s="26" t="s">
        <v>3771</v>
      </c>
      <c r="I256" s="26">
        <v>3</v>
      </c>
      <c r="J256" s="26">
        <v>4</v>
      </c>
      <c r="L256" s="26" t="s">
        <v>3649</v>
      </c>
      <c r="M256" s="26">
        <v>20</v>
      </c>
      <c r="N256" s="26" t="s">
        <v>3650</v>
      </c>
    </row>
    <row r="257" spans="2:28" x14ac:dyDescent="0.25">
      <c r="B257" s="26" t="s">
        <v>3772</v>
      </c>
      <c r="I257" s="26">
        <v>4</v>
      </c>
      <c r="J257" s="26">
        <v>5</v>
      </c>
      <c r="L257" s="26" t="s">
        <v>3800</v>
      </c>
      <c r="M257" s="26">
        <v>9</v>
      </c>
      <c r="N257" s="26" t="s">
        <v>3382</v>
      </c>
      <c r="AB257" s="26">
        <f>0.95^6</f>
        <v>0.73509189062499991</v>
      </c>
    </row>
    <row r="258" spans="2:28" x14ac:dyDescent="0.25">
      <c r="B258" s="26" t="s">
        <v>3773</v>
      </c>
      <c r="I258" s="26">
        <v>5</v>
      </c>
      <c r="J258" s="26">
        <v>6</v>
      </c>
      <c r="L258" s="26" t="s">
        <v>3801</v>
      </c>
      <c r="M258" s="26">
        <v>12</v>
      </c>
      <c r="R258" s="26" t="s">
        <v>3458</v>
      </c>
      <c r="S258" s="26" t="s">
        <v>1546</v>
      </c>
    </row>
    <row r="259" spans="2:28" x14ac:dyDescent="0.25">
      <c r="B259" s="26" t="s">
        <v>3774</v>
      </c>
      <c r="F259" s="26">
        <f>4-3-5-4</f>
        <v>-8</v>
      </c>
      <c r="I259" s="26">
        <v>6</v>
      </c>
      <c r="J259" s="26">
        <v>6</v>
      </c>
      <c r="L259" s="26" t="s">
        <v>3802</v>
      </c>
      <c r="M259" s="26" t="s">
        <v>3803</v>
      </c>
      <c r="N259" s="26" t="s">
        <v>3804</v>
      </c>
      <c r="R259" s="26" t="s">
        <v>3459</v>
      </c>
      <c r="S259" s="26">
        <v>5</v>
      </c>
      <c r="T259" s="26" t="s">
        <v>3468</v>
      </c>
    </row>
    <row r="260" spans="2:28" x14ac:dyDescent="0.25">
      <c r="B260" s="26" t="s">
        <v>3775</v>
      </c>
      <c r="F260" s="26">
        <f>7*(7+6.5*2+5+5)</f>
        <v>210</v>
      </c>
      <c r="I260" s="26">
        <f>AVERAGE(I254:I259)</f>
        <v>3.5</v>
      </c>
      <c r="J260" s="26">
        <f>AVERAGE(J254:J259)</f>
        <v>4.333333333333333</v>
      </c>
      <c r="L260" s="26">
        <f>9*5</f>
        <v>45</v>
      </c>
      <c r="R260" s="27" t="s">
        <v>3460</v>
      </c>
      <c r="S260" s="26">
        <v>1</v>
      </c>
    </row>
    <row r="261" spans="2:28" x14ac:dyDescent="0.25">
      <c r="B261" s="26" t="s">
        <v>3776</v>
      </c>
      <c r="F261" s="26">
        <f>3-4-5-4</f>
        <v>-10</v>
      </c>
      <c r="H261" s="26" t="s">
        <v>2399</v>
      </c>
      <c r="I261" s="26">
        <f>I260*3</f>
        <v>10.5</v>
      </c>
      <c r="J261" s="26">
        <f>J260*3</f>
        <v>13</v>
      </c>
      <c r="R261" s="26" t="s">
        <v>3461</v>
      </c>
    </row>
    <row r="262" spans="2:28" x14ac:dyDescent="0.25">
      <c r="B262" s="26" t="s">
        <v>3777</v>
      </c>
      <c r="E262" s="26">
        <f>0.85</f>
        <v>0.85</v>
      </c>
      <c r="F262" s="26">
        <f>5*(10+6.5*2+5+5)</f>
        <v>165</v>
      </c>
      <c r="H262" s="26" t="s">
        <v>1610</v>
      </c>
      <c r="I262" s="26">
        <f>I261*6</f>
        <v>63</v>
      </c>
      <c r="J262" s="26">
        <f>J261*6</f>
        <v>78</v>
      </c>
      <c r="R262" s="26" t="s">
        <v>3462</v>
      </c>
      <c r="S262" s="26">
        <v>1</v>
      </c>
      <c r="T262" s="26" t="s">
        <v>3463</v>
      </c>
    </row>
    <row r="263" spans="2:28" x14ac:dyDescent="0.25">
      <c r="E263" s="26">
        <f>E262^30</f>
        <v>7.6307595947894781E-3</v>
      </c>
      <c r="H263" s="26" t="s">
        <v>3444</v>
      </c>
      <c r="I263" s="26">
        <f>I262+I261*2</f>
        <v>84</v>
      </c>
      <c r="J263" s="26">
        <f>J262+J261*2</f>
        <v>104</v>
      </c>
      <c r="R263" s="26" t="s">
        <v>3464</v>
      </c>
      <c r="S263" s="26" t="s">
        <v>3481</v>
      </c>
    </row>
    <row r="264" spans="2:28" x14ac:dyDescent="0.25">
      <c r="E264" s="26">
        <f>0.75^15</f>
        <v>1.3363461010158062E-2</v>
      </c>
      <c r="H264" s="26" t="s">
        <v>3445</v>
      </c>
      <c r="I264" s="26">
        <f>I263+I261*3</f>
        <v>115.5</v>
      </c>
      <c r="J264" s="26">
        <f>J263+J261*3</f>
        <v>143</v>
      </c>
      <c r="R264" s="26" t="s">
        <v>3465</v>
      </c>
      <c r="S264" s="26" t="s">
        <v>3466</v>
      </c>
    </row>
    <row r="265" spans="2:28" x14ac:dyDescent="0.25">
      <c r="H265" s="26" t="s">
        <v>3446</v>
      </c>
      <c r="I265" s="26">
        <f>I264+I261*3</f>
        <v>147</v>
      </c>
      <c r="J265" s="26">
        <f>J264+J261*3</f>
        <v>182</v>
      </c>
      <c r="R265" s="26" t="s">
        <v>1779</v>
      </c>
      <c r="S265" s="26">
        <v>1</v>
      </c>
      <c r="T265" s="26" t="s">
        <v>3482</v>
      </c>
    </row>
    <row r="266" spans="2:28" x14ac:dyDescent="0.25">
      <c r="H266" s="26" t="s">
        <v>3447</v>
      </c>
      <c r="I266" s="26">
        <f>I265+I261*4</f>
        <v>189</v>
      </c>
      <c r="J266" s="26">
        <f>J265+J261*4</f>
        <v>234</v>
      </c>
      <c r="R266" s="26" t="s">
        <v>3467</v>
      </c>
      <c r="S266" s="26">
        <v>5</v>
      </c>
      <c r="T266" s="26" t="s">
        <v>3469</v>
      </c>
    </row>
    <row r="267" spans="2:28" x14ac:dyDescent="0.25">
      <c r="R267" s="26" t="s">
        <v>3470</v>
      </c>
      <c r="S267" s="26">
        <v>5</v>
      </c>
    </row>
    <row r="268" spans="2:28" x14ac:dyDescent="0.25">
      <c r="B268" s="26" t="s">
        <v>3778</v>
      </c>
      <c r="R268" s="26" t="s">
        <v>3471</v>
      </c>
      <c r="S268" s="26">
        <v>5</v>
      </c>
    </row>
    <row r="269" spans="2:28" x14ac:dyDescent="0.25">
      <c r="B269" s="26" t="s">
        <v>3779</v>
      </c>
      <c r="R269" s="26" t="s">
        <v>3472</v>
      </c>
      <c r="S269" s="26">
        <v>2</v>
      </c>
      <c r="T269" s="26" t="s">
        <v>3473</v>
      </c>
    </row>
    <row r="270" spans="2:28" x14ac:dyDescent="0.25">
      <c r="B270" s="26" t="s">
        <v>3780</v>
      </c>
      <c r="R270" s="26" t="s">
        <v>3474</v>
      </c>
      <c r="S270" s="26">
        <v>3</v>
      </c>
      <c r="T270" s="26" t="s">
        <v>3475</v>
      </c>
    </row>
    <row r="271" spans="2:28" x14ac:dyDescent="0.25">
      <c r="B271" s="26" t="s">
        <v>3781</v>
      </c>
      <c r="R271" s="26" t="s">
        <v>3476</v>
      </c>
      <c r="S271" s="26">
        <v>3</v>
      </c>
    </row>
    <row r="272" spans="2:28" x14ac:dyDescent="0.25">
      <c r="B272" s="26" t="s">
        <v>3782</v>
      </c>
      <c r="R272" s="26" t="s">
        <v>3477</v>
      </c>
      <c r="S272" s="26">
        <v>4</v>
      </c>
    </row>
    <row r="273" spans="2:22" x14ac:dyDescent="0.25">
      <c r="B273" s="26" t="s">
        <v>3783</v>
      </c>
      <c r="R273" s="26" t="s">
        <v>3479</v>
      </c>
      <c r="S273" s="26">
        <v>1</v>
      </c>
      <c r="T273" s="26" t="s">
        <v>3478</v>
      </c>
    </row>
    <row r="274" spans="2:22" x14ac:dyDescent="0.25">
      <c r="R274" s="26" t="s">
        <v>3480</v>
      </c>
      <c r="S274" s="26">
        <v>5</v>
      </c>
    </row>
    <row r="275" spans="2:22" x14ac:dyDescent="0.25">
      <c r="B275" s="26" t="s">
        <v>3795</v>
      </c>
      <c r="R275" s="26" t="s">
        <v>3483</v>
      </c>
      <c r="S275" s="26" t="s">
        <v>3484</v>
      </c>
      <c r="T275" s="26" t="s">
        <v>3485</v>
      </c>
    </row>
    <row r="276" spans="2:22" x14ac:dyDescent="0.25">
      <c r="B276" s="26" t="s">
        <v>3784</v>
      </c>
      <c r="K276" s="26" t="s">
        <v>3495</v>
      </c>
      <c r="N276" s="26" t="s">
        <v>3098</v>
      </c>
      <c r="R276" s="27" t="s">
        <v>3486</v>
      </c>
      <c r="S276" s="26" t="s">
        <v>3484</v>
      </c>
      <c r="T276" s="26" t="s">
        <v>3487</v>
      </c>
    </row>
    <row r="277" spans="2:22" x14ac:dyDescent="0.25">
      <c r="B277" s="26" t="s">
        <v>3785</v>
      </c>
      <c r="F277" s="26">
        <f>0.7^10</f>
        <v>2.824752489999998E-2</v>
      </c>
    </row>
    <row r="278" spans="2:22" x14ac:dyDescent="0.25">
      <c r="B278" s="26" t="s">
        <v>3791</v>
      </c>
      <c r="I278" s="26" t="s">
        <v>1182</v>
      </c>
      <c r="J278" s="26" t="s">
        <v>3496</v>
      </c>
      <c r="K278" s="27" t="s">
        <v>991</v>
      </c>
      <c r="N278" s="26" t="s">
        <v>1206</v>
      </c>
    </row>
    <row r="279" spans="2:22" x14ac:dyDescent="0.25">
      <c r="B279" s="26" t="s">
        <v>3792</v>
      </c>
      <c r="F279" s="26">
        <f>17.5*10*0.25</f>
        <v>43.75</v>
      </c>
      <c r="I279" s="26" t="s">
        <v>1849</v>
      </c>
      <c r="J279" s="26" t="s">
        <v>798</v>
      </c>
      <c r="K279" s="26" t="s">
        <v>797</v>
      </c>
      <c r="N279" s="26" t="s">
        <v>2529</v>
      </c>
    </row>
    <row r="280" spans="2:22" x14ac:dyDescent="0.25">
      <c r="B280" s="26" t="s">
        <v>3796</v>
      </c>
      <c r="F280" s="26">
        <f>60+20</f>
        <v>80</v>
      </c>
      <c r="I280" s="26" t="s">
        <v>1849</v>
      </c>
      <c r="J280" s="26" t="s">
        <v>3497</v>
      </c>
      <c r="K280" s="27" t="s">
        <v>1807</v>
      </c>
      <c r="N280" s="26" t="s">
        <v>1807</v>
      </c>
      <c r="Q280" s="26">
        <f>3.5+1+5+5</f>
        <v>14.5</v>
      </c>
      <c r="R280" s="26">
        <f>5-3-5-2-4</f>
        <v>-9</v>
      </c>
    </row>
    <row r="281" spans="2:22" x14ac:dyDescent="0.25">
      <c r="B281" s="26" t="s">
        <v>3786</v>
      </c>
      <c r="I281" s="26" t="s">
        <v>1849</v>
      </c>
      <c r="J281" s="26" t="s">
        <v>2721</v>
      </c>
      <c r="K281" s="27" t="s">
        <v>1807</v>
      </c>
      <c r="N281" s="26" t="s">
        <v>1807</v>
      </c>
      <c r="Q281" s="26">
        <f>Q280*5</f>
        <v>72.5</v>
      </c>
    </row>
    <row r="282" spans="2:22" x14ac:dyDescent="0.25">
      <c r="B282" s="26" t="s">
        <v>3787</v>
      </c>
      <c r="E282" s="26" t="s">
        <v>3797</v>
      </c>
      <c r="I282" s="26" t="s">
        <v>1183</v>
      </c>
      <c r="J282" s="26" t="s">
        <v>2718</v>
      </c>
      <c r="K282" s="27" t="s">
        <v>2531</v>
      </c>
      <c r="N282" s="26" t="s">
        <v>2531</v>
      </c>
      <c r="Q282" s="26">
        <f>Q281*0.5</f>
        <v>36.25</v>
      </c>
      <c r="S282" s="26">
        <f>14-5-3-1-1-2</f>
        <v>2</v>
      </c>
      <c r="U282" s="26">
        <v>13000</v>
      </c>
      <c r="V282" s="26" t="s">
        <v>3757</v>
      </c>
    </row>
    <row r="283" spans="2:22" x14ac:dyDescent="0.25">
      <c r="B283" s="26" t="s">
        <v>3788</v>
      </c>
      <c r="E283" s="26">
        <f>6*3</f>
        <v>18</v>
      </c>
      <c r="I283" s="26" t="s">
        <v>1848</v>
      </c>
      <c r="J283" s="26" t="s">
        <v>2717</v>
      </c>
      <c r="K283" s="26" t="s">
        <v>2669</v>
      </c>
      <c r="N283" s="26" t="s">
        <v>1557</v>
      </c>
      <c r="U283" s="26">
        <v>20000</v>
      </c>
      <c r="V283" s="26" t="s">
        <v>3758</v>
      </c>
    </row>
    <row r="284" spans="2:22" x14ac:dyDescent="0.25">
      <c r="B284" s="26" t="s">
        <v>3789</v>
      </c>
    </row>
    <row r="285" spans="2:22" x14ac:dyDescent="0.25">
      <c r="B285" s="26" t="s">
        <v>3833</v>
      </c>
      <c r="S285" s="26">
        <v>50000</v>
      </c>
      <c r="V285" s="26">
        <f>10+19+19</f>
        <v>48</v>
      </c>
    </row>
    <row r="286" spans="2:22" x14ac:dyDescent="0.25">
      <c r="B286" s="26" t="s">
        <v>3790</v>
      </c>
      <c r="L286" s="26" t="s">
        <v>3651</v>
      </c>
      <c r="R286" s="26">
        <v>1</v>
      </c>
      <c r="S286" s="26">
        <f t="shared" ref="S286:S317" si="7">S285*1.01</f>
        <v>50500</v>
      </c>
      <c r="V286" s="26">
        <f>48*20000</f>
        <v>960000</v>
      </c>
    </row>
    <row r="287" spans="2:22" x14ac:dyDescent="0.25">
      <c r="B287" s="26" t="s">
        <v>3793</v>
      </c>
      <c r="L287" s="26" t="s">
        <v>660</v>
      </c>
      <c r="R287" s="26">
        <f t="shared" ref="R287:R318" si="8">R286+1</f>
        <v>2</v>
      </c>
      <c r="S287" s="26">
        <f t="shared" si="7"/>
        <v>51005</v>
      </c>
      <c r="V287" s="26">
        <f>V286/4</f>
        <v>240000</v>
      </c>
    </row>
    <row r="288" spans="2:22" x14ac:dyDescent="0.25">
      <c r="B288" s="26" t="s">
        <v>3794</v>
      </c>
      <c r="L288" s="26" t="s">
        <v>3652</v>
      </c>
      <c r="R288" s="26">
        <f t="shared" si="8"/>
        <v>3</v>
      </c>
      <c r="S288" s="26">
        <f t="shared" si="7"/>
        <v>51515.05</v>
      </c>
    </row>
    <row r="289" spans="2:19" x14ac:dyDescent="0.25">
      <c r="E289" s="26" t="s">
        <v>2219</v>
      </c>
      <c r="G289" s="26">
        <f>5*(6.5*2+5+5+10)</f>
        <v>165</v>
      </c>
      <c r="I289" s="26">
        <f>5*(6+3)</f>
        <v>45</v>
      </c>
      <c r="L289" s="26" t="s">
        <v>3653</v>
      </c>
      <c r="R289" s="26">
        <f t="shared" si="8"/>
        <v>4</v>
      </c>
      <c r="S289" s="26">
        <f t="shared" si="7"/>
        <v>52030.200500000006</v>
      </c>
    </row>
    <row r="290" spans="2:19" x14ac:dyDescent="0.25">
      <c r="E290" s="26" t="s">
        <v>3731</v>
      </c>
      <c r="L290" s="26" t="s">
        <v>3654</v>
      </c>
      <c r="R290" s="26">
        <f t="shared" si="8"/>
        <v>5</v>
      </c>
      <c r="S290" s="26">
        <f t="shared" si="7"/>
        <v>52550.502505000004</v>
      </c>
    </row>
    <row r="291" spans="2:19" x14ac:dyDescent="0.25">
      <c r="E291" s="26" t="s">
        <v>3798</v>
      </c>
      <c r="L291" s="26">
        <v>11</v>
      </c>
      <c r="P291" s="26" t="s">
        <v>3498</v>
      </c>
      <c r="Q291" s="26" t="s">
        <v>3499</v>
      </c>
      <c r="R291" s="26">
        <f t="shared" si="8"/>
        <v>6</v>
      </c>
      <c r="S291" s="26">
        <f t="shared" si="7"/>
        <v>53076.007530050003</v>
      </c>
    </row>
    <row r="292" spans="2:19" x14ac:dyDescent="0.25">
      <c r="B292" s="26">
        <f>5*3.5*2+3*4*2</f>
        <v>59</v>
      </c>
      <c r="E292" s="26" t="s">
        <v>3799</v>
      </c>
      <c r="H292" s="26" t="s">
        <v>3704</v>
      </c>
      <c r="L292" s="26">
        <v>3</v>
      </c>
      <c r="P292" s="26">
        <v>2017</v>
      </c>
      <c r="Q292" s="26">
        <v>130000</v>
      </c>
      <c r="R292" s="26">
        <f t="shared" si="8"/>
        <v>7</v>
      </c>
      <c r="S292" s="26">
        <f t="shared" si="7"/>
        <v>53606.767605350506</v>
      </c>
    </row>
    <row r="293" spans="2:19" x14ac:dyDescent="0.25">
      <c r="E293" s="26" t="s">
        <v>3759</v>
      </c>
      <c r="H293" s="26">
        <v>30000</v>
      </c>
      <c r="L293" s="26">
        <v>12</v>
      </c>
      <c r="P293" s="26">
        <v>1917</v>
      </c>
      <c r="R293" s="26">
        <f t="shared" si="8"/>
        <v>8</v>
      </c>
      <c r="S293" s="26">
        <f t="shared" si="7"/>
        <v>54142.835281404012</v>
      </c>
    </row>
    <row r="294" spans="2:19" x14ac:dyDescent="0.25">
      <c r="E294" s="26" t="s">
        <v>3805</v>
      </c>
      <c r="H294" s="26">
        <f>H293/3</f>
        <v>10000</v>
      </c>
      <c r="L294" s="26">
        <v>3</v>
      </c>
      <c r="R294" s="26">
        <f t="shared" si="8"/>
        <v>9</v>
      </c>
      <c r="S294" s="26">
        <f t="shared" si="7"/>
        <v>54684.263634218056</v>
      </c>
    </row>
    <row r="295" spans="2:19" x14ac:dyDescent="0.25">
      <c r="E295" s="26" t="s">
        <v>3645</v>
      </c>
      <c r="L295" s="26" t="s">
        <v>3655</v>
      </c>
      <c r="R295" s="26">
        <f t="shared" si="8"/>
        <v>10</v>
      </c>
      <c r="S295" s="26">
        <f t="shared" si="7"/>
        <v>55231.106270560238</v>
      </c>
    </row>
    <row r="296" spans="2:19" x14ac:dyDescent="0.25">
      <c r="E296" s="26" t="s">
        <v>3696</v>
      </c>
      <c r="G296" s="26" t="s">
        <v>3811</v>
      </c>
      <c r="H296" s="26">
        <v>14</v>
      </c>
      <c r="I296" s="26" t="s">
        <v>3384</v>
      </c>
      <c r="L296" s="26" t="s">
        <v>3656</v>
      </c>
      <c r="R296" s="26">
        <f t="shared" si="8"/>
        <v>11</v>
      </c>
      <c r="S296" s="26">
        <f t="shared" si="7"/>
        <v>55783.417333265839</v>
      </c>
    </row>
    <row r="297" spans="2:19" x14ac:dyDescent="0.25">
      <c r="E297" s="26" t="s">
        <v>3806</v>
      </c>
      <c r="G297" s="26" t="s">
        <v>3807</v>
      </c>
      <c r="H297" s="26">
        <v>12</v>
      </c>
      <c r="I297" s="26" t="s">
        <v>3656</v>
      </c>
      <c r="L297" s="26" t="s">
        <v>3657</v>
      </c>
      <c r="R297" s="26">
        <f t="shared" si="8"/>
        <v>12</v>
      </c>
      <c r="S297" s="26">
        <f t="shared" si="7"/>
        <v>56341.251506598499</v>
      </c>
    </row>
    <row r="298" spans="2:19" x14ac:dyDescent="0.25">
      <c r="E298" s="26" t="s">
        <v>3848</v>
      </c>
      <c r="G298" s="26" t="s">
        <v>3809</v>
      </c>
      <c r="H298" s="26">
        <v>12</v>
      </c>
      <c r="I298" s="26" t="s">
        <v>3656</v>
      </c>
      <c r="L298" s="26" t="s">
        <v>3658</v>
      </c>
      <c r="R298" s="26">
        <f t="shared" si="8"/>
        <v>13</v>
      </c>
      <c r="S298" s="26">
        <f t="shared" si="7"/>
        <v>56904.664021664481</v>
      </c>
    </row>
    <row r="299" spans="2:19" x14ac:dyDescent="0.25">
      <c r="E299" s="26" t="s">
        <v>3849</v>
      </c>
      <c r="G299" s="26" t="s">
        <v>3810</v>
      </c>
      <c r="H299" s="26">
        <v>12</v>
      </c>
      <c r="I299" s="26" t="s">
        <v>3656</v>
      </c>
      <c r="L299" s="26" t="s">
        <v>2316</v>
      </c>
      <c r="R299" s="26">
        <f t="shared" si="8"/>
        <v>14</v>
      </c>
      <c r="S299" s="26">
        <f t="shared" si="7"/>
        <v>57473.710661881123</v>
      </c>
    </row>
    <row r="300" spans="2:19" x14ac:dyDescent="0.25">
      <c r="G300" s="26" t="s">
        <v>3808</v>
      </c>
      <c r="H300" s="26">
        <v>12</v>
      </c>
      <c r="I300" s="26" t="s">
        <v>3656</v>
      </c>
      <c r="L300" s="26" t="s">
        <v>3659</v>
      </c>
      <c r="R300" s="26">
        <f t="shared" si="8"/>
        <v>15</v>
      </c>
      <c r="S300" s="26">
        <f t="shared" si="7"/>
        <v>58048.447768499937</v>
      </c>
    </row>
    <row r="301" spans="2:19" x14ac:dyDescent="0.25">
      <c r="B301" s="26" t="s">
        <v>3850</v>
      </c>
      <c r="L301" s="26" t="s">
        <v>3660</v>
      </c>
      <c r="R301" s="26">
        <f t="shared" si="8"/>
        <v>16</v>
      </c>
      <c r="S301" s="26">
        <f t="shared" si="7"/>
        <v>58628.932246184937</v>
      </c>
    </row>
    <row r="302" spans="2:19" x14ac:dyDescent="0.25">
      <c r="B302" s="26" t="s">
        <v>3851</v>
      </c>
      <c r="L302" s="26" t="s">
        <v>3661</v>
      </c>
      <c r="R302" s="26">
        <f t="shared" si="8"/>
        <v>17</v>
      </c>
      <c r="S302" s="26">
        <f t="shared" si="7"/>
        <v>59215.22156864679</v>
      </c>
    </row>
    <row r="303" spans="2:19" x14ac:dyDescent="0.25">
      <c r="B303" s="26" t="s">
        <v>3852</v>
      </c>
      <c r="E303" s="26">
        <f>0.5*0.5</f>
        <v>0.25</v>
      </c>
      <c r="F303" s="26">
        <f>0.3*0.45</f>
        <v>0.13500000000000001</v>
      </c>
      <c r="R303" s="26">
        <f t="shared" si="8"/>
        <v>18</v>
      </c>
      <c r="S303" s="26">
        <f t="shared" si="7"/>
        <v>59807.373784333256</v>
      </c>
    </row>
    <row r="304" spans="2:19" x14ac:dyDescent="0.25">
      <c r="B304" s="26" t="s">
        <v>3853</v>
      </c>
      <c r="E304" s="26">
        <f>1-E303</f>
        <v>0.75</v>
      </c>
      <c r="F304" s="26">
        <f>1-F303</f>
        <v>0.86499999999999999</v>
      </c>
      <c r="L304" s="26" t="s">
        <v>3662</v>
      </c>
      <c r="R304" s="26">
        <f t="shared" si="8"/>
        <v>19</v>
      </c>
      <c r="S304" s="26">
        <f t="shared" si="7"/>
        <v>60405.44752217659</v>
      </c>
    </row>
    <row r="305" spans="2:23" x14ac:dyDescent="0.25">
      <c r="B305" s="26" t="s">
        <v>3787</v>
      </c>
      <c r="E305" s="26">
        <f>E304^3</f>
        <v>0.421875</v>
      </c>
      <c r="F305" s="26">
        <f>F304^7</f>
        <v>0.3623370567540154</v>
      </c>
      <c r="H305" s="26">
        <f>366660000</f>
        <v>366660000</v>
      </c>
      <c r="L305" s="26" t="s">
        <v>3663</v>
      </c>
      <c r="R305" s="26">
        <f t="shared" si="8"/>
        <v>20</v>
      </c>
      <c r="S305" s="26">
        <f t="shared" si="7"/>
        <v>61009.501997398358</v>
      </c>
    </row>
    <row r="306" spans="2:23" x14ac:dyDescent="0.25">
      <c r="B306" s="26" t="s">
        <v>3854</v>
      </c>
      <c r="H306" s="26">
        <f>H305/300</f>
        <v>1222200</v>
      </c>
      <c r="L306" s="26" t="s">
        <v>3664</v>
      </c>
      <c r="R306" s="26">
        <f t="shared" si="8"/>
        <v>21</v>
      </c>
      <c r="S306" s="26">
        <f t="shared" si="7"/>
        <v>61619.59701737234</v>
      </c>
    </row>
    <row r="307" spans="2:23" x14ac:dyDescent="0.25">
      <c r="B307" s="26" t="s">
        <v>3855</v>
      </c>
      <c r="E307" s="26">
        <f>1-E305</f>
        <v>0.578125</v>
      </c>
      <c r="F307" s="26">
        <f>1-F305</f>
        <v>0.6376629432459846</v>
      </c>
      <c r="H307" s="26">
        <f>H306/8</f>
        <v>152775</v>
      </c>
      <c r="L307" s="26" t="s">
        <v>3665</v>
      </c>
      <c r="R307" s="26">
        <f t="shared" si="8"/>
        <v>22</v>
      </c>
      <c r="S307" s="26">
        <f t="shared" si="7"/>
        <v>62235.792987546061</v>
      </c>
    </row>
    <row r="308" spans="2:23" x14ac:dyDescent="0.25">
      <c r="B308" s="26" t="s">
        <v>3856</v>
      </c>
      <c r="E308" s="26">
        <f>E307*15000</f>
        <v>8671.875</v>
      </c>
      <c r="F308" s="26">
        <f>F307*52000</f>
        <v>33158.473048791202</v>
      </c>
      <c r="H308" s="26">
        <f>H307/3</f>
        <v>50925</v>
      </c>
      <c r="L308" s="26" t="s">
        <v>3666</v>
      </c>
      <c r="R308" s="26">
        <f t="shared" si="8"/>
        <v>23</v>
      </c>
      <c r="S308" s="26">
        <f t="shared" si="7"/>
        <v>62858.150917421524</v>
      </c>
    </row>
    <row r="309" spans="2:23" x14ac:dyDescent="0.25">
      <c r="B309" s="26" t="s">
        <v>3790</v>
      </c>
      <c r="F309" s="26">
        <f>F308/E308</f>
        <v>3.8236797749957421</v>
      </c>
      <c r="H309" s="26">
        <f>H308/365</f>
        <v>139.52054794520549</v>
      </c>
      <c r="L309" s="26" t="s">
        <v>3667</v>
      </c>
      <c r="R309" s="26">
        <f t="shared" si="8"/>
        <v>24</v>
      </c>
      <c r="S309" s="26">
        <f t="shared" si="7"/>
        <v>63486.732426595743</v>
      </c>
    </row>
    <row r="310" spans="2:23" x14ac:dyDescent="0.25">
      <c r="B310" s="26" t="s">
        <v>3857</v>
      </c>
      <c r="L310" s="26" t="s">
        <v>3668</v>
      </c>
      <c r="R310" s="26">
        <f t="shared" si="8"/>
        <v>25</v>
      </c>
      <c r="S310" s="26">
        <f t="shared" si="7"/>
        <v>64121.5997508617</v>
      </c>
    </row>
    <row r="311" spans="2:23" x14ac:dyDescent="0.25">
      <c r="R311" s="26">
        <f t="shared" si="8"/>
        <v>26</v>
      </c>
      <c r="S311" s="26">
        <f t="shared" si="7"/>
        <v>64762.815748370318</v>
      </c>
    </row>
    <row r="312" spans="2:23" x14ac:dyDescent="0.25">
      <c r="R312" s="26">
        <f t="shared" si="8"/>
        <v>27</v>
      </c>
      <c r="S312" s="26">
        <f t="shared" si="7"/>
        <v>65410.443905854023</v>
      </c>
    </row>
    <row r="313" spans="2:23" x14ac:dyDescent="0.25">
      <c r="E313" s="26" t="s">
        <v>3812</v>
      </c>
      <c r="M313" s="26" t="s">
        <v>1849</v>
      </c>
      <c r="N313" s="26" t="s">
        <v>3585</v>
      </c>
      <c r="O313" s="26" t="s">
        <v>3670</v>
      </c>
      <c r="P313" s="26" t="s">
        <v>3669</v>
      </c>
      <c r="Q313" s="26" t="s">
        <v>3679</v>
      </c>
      <c r="R313" s="26">
        <f t="shared" si="8"/>
        <v>28</v>
      </c>
      <c r="S313" s="26">
        <f t="shared" si="7"/>
        <v>66064.54834491256</v>
      </c>
    </row>
    <row r="314" spans="2:23" x14ac:dyDescent="0.25">
      <c r="E314" s="26" t="s">
        <v>3813</v>
      </c>
      <c r="L314" s="26" t="s">
        <v>512</v>
      </c>
      <c r="M314" s="26" t="s">
        <v>1807</v>
      </c>
      <c r="N314" s="26" t="s">
        <v>1807</v>
      </c>
      <c r="R314" s="26">
        <f t="shared" si="8"/>
        <v>29</v>
      </c>
      <c r="S314" s="26">
        <f t="shared" si="7"/>
        <v>66725.193828361691</v>
      </c>
      <c r="U314" s="26">
        <f>10+10+8</f>
        <v>28</v>
      </c>
      <c r="W314" s="26" t="s">
        <v>3671</v>
      </c>
    </row>
    <row r="315" spans="2:23" x14ac:dyDescent="0.25">
      <c r="E315" s="26" t="s">
        <v>3814</v>
      </c>
      <c r="K315" s="26" t="s">
        <v>155</v>
      </c>
      <c r="L315" s="26">
        <v>8</v>
      </c>
      <c r="M315" s="26">
        <v>8</v>
      </c>
      <c r="N315" s="26">
        <v>8</v>
      </c>
      <c r="O315" s="26">
        <v>8</v>
      </c>
      <c r="P315" s="26">
        <v>8</v>
      </c>
      <c r="Q315" s="26">
        <v>8</v>
      </c>
      <c r="R315" s="26">
        <f t="shared" si="8"/>
        <v>30</v>
      </c>
      <c r="S315" s="26">
        <f t="shared" si="7"/>
        <v>67392.445766645309</v>
      </c>
      <c r="U315" s="26">
        <f>10+10+9+4</f>
        <v>33</v>
      </c>
      <c r="W315" s="26" t="s">
        <v>3672</v>
      </c>
    </row>
    <row r="316" spans="2:23" x14ac:dyDescent="0.25">
      <c r="B316" s="26" t="s">
        <v>3816</v>
      </c>
      <c r="E316" s="26" t="s">
        <v>3815</v>
      </c>
      <c r="K316" s="26" t="s">
        <v>1241</v>
      </c>
      <c r="L316" s="26">
        <v>17</v>
      </c>
      <c r="M316" s="26">
        <v>16</v>
      </c>
      <c r="N316" s="26">
        <v>19</v>
      </c>
      <c r="O316" s="26">
        <v>17</v>
      </c>
      <c r="P316" s="26">
        <v>17</v>
      </c>
      <c r="Q316" s="26">
        <v>17</v>
      </c>
      <c r="R316" s="26">
        <f t="shared" si="8"/>
        <v>31</v>
      </c>
      <c r="S316" s="26">
        <f t="shared" si="7"/>
        <v>68066.370224311759</v>
      </c>
      <c r="W316" s="26" t="s">
        <v>3673</v>
      </c>
    </row>
    <row r="317" spans="2:23" x14ac:dyDescent="0.25">
      <c r="B317" s="26">
        <v>4</v>
      </c>
      <c r="E317" s="26" t="s">
        <v>1824</v>
      </c>
      <c r="K317" s="26" t="s">
        <v>1242</v>
      </c>
      <c r="L317" s="26">
        <v>10</v>
      </c>
      <c r="M317" s="26">
        <v>14</v>
      </c>
      <c r="N317" s="26">
        <v>10</v>
      </c>
      <c r="O317" s="26">
        <v>10</v>
      </c>
      <c r="P317" s="26">
        <v>12</v>
      </c>
      <c r="Q317" s="26">
        <v>10</v>
      </c>
      <c r="R317" s="26">
        <f t="shared" si="8"/>
        <v>32</v>
      </c>
      <c r="S317" s="26">
        <f t="shared" si="7"/>
        <v>68747.033926554883</v>
      </c>
      <c r="W317" s="26" t="s">
        <v>3674</v>
      </c>
    </row>
    <row r="318" spans="2:23" x14ac:dyDescent="0.25">
      <c r="B318" s="27">
        <v>23</v>
      </c>
      <c r="C318" s="26" t="s">
        <v>3818</v>
      </c>
      <c r="E318" s="26" t="s">
        <v>3385</v>
      </c>
      <c r="G318" s="26">
        <f>0.95^100</f>
        <v>5.9205292203340209E-3</v>
      </c>
      <c r="K318" s="26" t="s">
        <v>1243</v>
      </c>
      <c r="L318" s="26">
        <v>13</v>
      </c>
      <c r="M318" s="26">
        <v>10</v>
      </c>
      <c r="N318" s="26">
        <v>11</v>
      </c>
      <c r="O318" s="26">
        <v>11</v>
      </c>
      <c r="P318" s="26">
        <v>16</v>
      </c>
      <c r="Q318" s="26">
        <v>13</v>
      </c>
      <c r="R318" s="26">
        <f t="shared" si="8"/>
        <v>33</v>
      </c>
      <c r="S318" s="26">
        <f t="shared" ref="S318:S349" si="9">S317*1.01</f>
        <v>69434.504265820433</v>
      </c>
      <c r="T318" s="26">
        <v>5</v>
      </c>
      <c r="U318" s="26">
        <v>2</v>
      </c>
    </row>
    <row r="319" spans="2:23" x14ac:dyDescent="0.25">
      <c r="B319" s="26">
        <v>10</v>
      </c>
      <c r="K319" s="26" t="s">
        <v>1244</v>
      </c>
      <c r="L319" s="26">
        <v>10</v>
      </c>
      <c r="M319" s="26">
        <v>10</v>
      </c>
      <c r="N319" s="26">
        <v>10</v>
      </c>
      <c r="O319" s="26">
        <v>13</v>
      </c>
      <c r="P319" s="26">
        <v>20</v>
      </c>
      <c r="Q319" s="26">
        <v>10</v>
      </c>
      <c r="R319" s="26">
        <f t="shared" ref="R319:R350" si="10">R318+1</f>
        <v>34</v>
      </c>
      <c r="S319" s="26">
        <f t="shared" si="9"/>
        <v>70128.849308478631</v>
      </c>
      <c r="U319" s="26" t="s">
        <v>3678</v>
      </c>
    </row>
    <row r="320" spans="2:23" x14ac:dyDescent="0.25">
      <c r="B320" s="27">
        <v>11</v>
      </c>
      <c r="C320" s="26" t="s">
        <v>3819</v>
      </c>
      <c r="K320" s="26" t="s">
        <v>1245</v>
      </c>
      <c r="L320" s="26">
        <v>18</v>
      </c>
      <c r="M320" s="26">
        <v>18</v>
      </c>
      <c r="N320" s="26">
        <v>20</v>
      </c>
      <c r="O320" s="26">
        <v>19</v>
      </c>
      <c r="P320" s="26">
        <v>1</v>
      </c>
      <c r="Q320" s="26">
        <v>20</v>
      </c>
      <c r="R320" s="26">
        <f t="shared" si="10"/>
        <v>35</v>
      </c>
      <c r="S320" s="26">
        <f t="shared" si="9"/>
        <v>70830.137801563425</v>
      </c>
      <c r="T320" s="26">
        <v>1</v>
      </c>
      <c r="U320" s="26" t="s">
        <v>3677</v>
      </c>
    </row>
    <row r="321" spans="1:34" x14ac:dyDescent="0.25">
      <c r="B321" s="26" t="s">
        <v>3817</v>
      </c>
      <c r="L321" s="26">
        <f t="shared" ref="L321:Q321" si="11">SUM(L315:L320)</f>
        <v>76</v>
      </c>
      <c r="M321" s="26">
        <f t="shared" si="11"/>
        <v>76</v>
      </c>
      <c r="N321" s="26">
        <f t="shared" si="11"/>
        <v>78</v>
      </c>
      <c r="O321" s="26">
        <f t="shared" si="11"/>
        <v>78</v>
      </c>
      <c r="P321" s="26">
        <f t="shared" si="11"/>
        <v>74</v>
      </c>
      <c r="Q321" s="26">
        <f t="shared" si="11"/>
        <v>78</v>
      </c>
      <c r="R321" s="26">
        <f t="shared" si="10"/>
        <v>36</v>
      </c>
      <c r="S321" s="26">
        <f t="shared" si="9"/>
        <v>71538.439179579058</v>
      </c>
      <c r="T321" s="26">
        <v>2</v>
      </c>
      <c r="U321" s="26" t="s">
        <v>3676</v>
      </c>
    </row>
    <row r="322" spans="1:34" x14ac:dyDescent="0.25">
      <c r="C322" s="26" t="s">
        <v>3829</v>
      </c>
      <c r="R322" s="26">
        <f t="shared" si="10"/>
        <v>37</v>
      </c>
      <c r="S322" s="26">
        <f t="shared" si="9"/>
        <v>72253.823571374844</v>
      </c>
      <c r="T322" s="26">
        <v>3</v>
      </c>
      <c r="U322" s="26" t="s">
        <v>3675</v>
      </c>
      <c r="AC322" s="26">
        <v>1</v>
      </c>
      <c r="AD322" s="26">
        <v>2</v>
      </c>
      <c r="AE322" s="26">
        <v>3</v>
      </c>
      <c r="AF322" s="26">
        <v>4</v>
      </c>
      <c r="AG322" s="26">
        <v>5</v>
      </c>
      <c r="AH322" s="26">
        <v>6</v>
      </c>
    </row>
    <row r="323" spans="1:34" x14ac:dyDescent="0.25">
      <c r="A323" s="26">
        <v>329</v>
      </c>
      <c r="B323" s="26" t="s">
        <v>3822</v>
      </c>
      <c r="C323" s="26">
        <v>319</v>
      </c>
      <c r="D323" s="26" t="s">
        <v>3820</v>
      </c>
      <c r="E323" s="26">
        <f>3-4-5</f>
        <v>-6</v>
      </c>
      <c r="F323" s="26">
        <f>3.5+5+5+12+10</f>
        <v>35.5</v>
      </c>
      <c r="R323" s="26">
        <f t="shared" si="10"/>
        <v>38</v>
      </c>
      <c r="S323" s="26">
        <f t="shared" si="9"/>
        <v>72976.361807088586</v>
      </c>
      <c r="T323" s="26">
        <v>4</v>
      </c>
      <c r="U323" s="26" t="s">
        <v>3675</v>
      </c>
      <c r="W323" s="26">
        <v>17</v>
      </c>
      <c r="X323" s="26">
        <v>12</v>
      </c>
      <c r="Y323" s="26">
        <v>7</v>
      </c>
      <c r="Z323" s="26">
        <v>0</v>
      </c>
      <c r="AA323" s="26">
        <v>0</v>
      </c>
      <c r="AC323" s="26">
        <v>2</v>
      </c>
      <c r="AD323" s="26">
        <v>3</v>
      </c>
      <c r="AE323" s="26">
        <v>4</v>
      </c>
      <c r="AF323" s="26">
        <v>5</v>
      </c>
      <c r="AG323" s="26">
        <v>6</v>
      </c>
      <c r="AH323" s="26">
        <v>6</v>
      </c>
    </row>
    <row r="324" spans="1:34" x14ac:dyDescent="0.25">
      <c r="A324" s="26">
        <v>430</v>
      </c>
      <c r="B324" s="26" t="s">
        <v>3010</v>
      </c>
      <c r="C324" s="26">
        <v>421</v>
      </c>
      <c r="D324" s="26" t="s">
        <v>3821</v>
      </c>
      <c r="E324" s="26">
        <f>3-4-4-4</f>
        <v>-9</v>
      </c>
      <c r="F324" s="26">
        <f>3.5+4+5+10</f>
        <v>22.5</v>
      </c>
      <c r="L324" s="26" t="s">
        <v>512</v>
      </c>
      <c r="M324" s="26" t="s">
        <v>512</v>
      </c>
      <c r="P324" s="26" t="s">
        <v>3585</v>
      </c>
      <c r="Q324" s="26" t="s">
        <v>3585</v>
      </c>
      <c r="R324" s="26">
        <f t="shared" si="10"/>
        <v>39</v>
      </c>
      <c r="S324" s="26">
        <f t="shared" si="9"/>
        <v>73706.125425159466</v>
      </c>
      <c r="T324" s="26">
        <v>5</v>
      </c>
      <c r="U324" s="26" t="s">
        <v>3240</v>
      </c>
      <c r="W324" s="26">
        <f>W323+24+1</f>
        <v>42</v>
      </c>
      <c r="X324" s="26">
        <f>X323+24+1</f>
        <v>37</v>
      </c>
      <c r="Y324" s="26">
        <f>Y323+24+1</f>
        <v>32</v>
      </c>
      <c r="Z324" s="26">
        <f>Z323+24+1</f>
        <v>25</v>
      </c>
      <c r="AA324" s="26">
        <f>AA323+24+1</f>
        <v>25</v>
      </c>
      <c r="AC324" s="26">
        <v>3</v>
      </c>
      <c r="AD324" s="26">
        <v>4</v>
      </c>
      <c r="AE324" s="26">
        <v>5</v>
      </c>
      <c r="AF324" s="26">
        <v>6</v>
      </c>
      <c r="AG324" s="26">
        <v>6</v>
      </c>
      <c r="AH324" s="26">
        <v>6</v>
      </c>
    </row>
    <row r="325" spans="1:34" x14ac:dyDescent="0.25">
      <c r="A325" s="26">
        <v>525</v>
      </c>
      <c r="B325" s="26" t="s">
        <v>3823</v>
      </c>
      <c r="C325" s="26">
        <v>511</v>
      </c>
      <c r="D325" s="26" t="s">
        <v>2488</v>
      </c>
      <c r="E325" s="26">
        <f>3-5-4-4</f>
        <v>-10</v>
      </c>
      <c r="F325" s="26">
        <f>6.5+6.5+5+5+10</f>
        <v>33</v>
      </c>
      <c r="K325" s="26" t="s">
        <v>212</v>
      </c>
      <c r="L325" s="26">
        <v>10</v>
      </c>
      <c r="M325" s="26">
        <v>10</v>
      </c>
      <c r="N325" s="26">
        <v>10</v>
      </c>
      <c r="O325" s="26">
        <v>10</v>
      </c>
      <c r="P325" s="26">
        <v>10</v>
      </c>
      <c r="Q325" s="26">
        <v>10</v>
      </c>
      <c r="R325" s="26">
        <f t="shared" si="10"/>
        <v>40</v>
      </c>
      <c r="S325" s="26">
        <f t="shared" si="9"/>
        <v>74443.186679411054</v>
      </c>
      <c r="T325" s="26">
        <v>6</v>
      </c>
      <c r="U325" s="26" t="s">
        <v>3240</v>
      </c>
      <c r="X325" s="26">
        <f>10+9+4+7</f>
        <v>30</v>
      </c>
      <c r="AC325" s="26">
        <v>4</v>
      </c>
      <c r="AD325" s="26">
        <v>5</v>
      </c>
      <c r="AE325" s="26">
        <v>6</v>
      </c>
      <c r="AF325" s="26">
        <v>6</v>
      </c>
      <c r="AG325" s="26">
        <v>6</v>
      </c>
      <c r="AH325" s="26">
        <v>6</v>
      </c>
    </row>
    <row r="326" spans="1:34" x14ac:dyDescent="0.25">
      <c r="A326" s="26">
        <v>626</v>
      </c>
      <c r="B326" s="26" t="s">
        <v>3824</v>
      </c>
      <c r="C326" s="26">
        <v>601</v>
      </c>
      <c r="K326" s="26" t="s">
        <v>3059</v>
      </c>
      <c r="N326" s="26">
        <v>4</v>
      </c>
      <c r="O326" s="26">
        <v>4</v>
      </c>
      <c r="R326" s="26">
        <f t="shared" si="10"/>
        <v>41</v>
      </c>
      <c r="S326" s="26">
        <f t="shared" si="9"/>
        <v>75187.618546205165</v>
      </c>
      <c r="T326" s="26">
        <v>7</v>
      </c>
      <c r="U326" s="26" t="s">
        <v>3240</v>
      </c>
      <c r="AC326" s="26">
        <v>5</v>
      </c>
      <c r="AD326" s="26">
        <v>6</v>
      </c>
      <c r="AE326" s="26">
        <v>6</v>
      </c>
      <c r="AF326" s="26">
        <v>6</v>
      </c>
      <c r="AG326" s="26">
        <v>6</v>
      </c>
      <c r="AH326" s="26">
        <v>6</v>
      </c>
    </row>
    <row r="327" spans="1:34" x14ac:dyDescent="0.25">
      <c r="A327" s="26">
        <v>730</v>
      </c>
      <c r="B327" s="26" t="s">
        <v>3825</v>
      </c>
      <c r="C327" s="26" t="s">
        <v>3830</v>
      </c>
      <c r="I327" s="26">
        <f>10+1+1+5+1+4</f>
        <v>22</v>
      </c>
      <c r="K327" s="26" t="s">
        <v>1241</v>
      </c>
      <c r="L327" s="26">
        <v>3</v>
      </c>
      <c r="M327" s="26">
        <v>6</v>
      </c>
      <c r="N327" s="26">
        <v>8</v>
      </c>
      <c r="O327" s="26">
        <v>5</v>
      </c>
      <c r="P327" s="26">
        <v>6</v>
      </c>
      <c r="Q327" s="26">
        <v>6</v>
      </c>
      <c r="R327" s="26">
        <f t="shared" si="10"/>
        <v>42</v>
      </c>
      <c r="S327" s="26">
        <f t="shared" si="9"/>
        <v>75939.494731667219</v>
      </c>
      <c r="T327" s="26">
        <v>8</v>
      </c>
      <c r="AC327" s="26">
        <v>6</v>
      </c>
      <c r="AD327" s="26">
        <v>6</v>
      </c>
      <c r="AE327" s="26">
        <v>6</v>
      </c>
      <c r="AF327" s="26">
        <v>6</v>
      </c>
      <c r="AG327" s="26">
        <v>6</v>
      </c>
      <c r="AH327" s="26">
        <v>6</v>
      </c>
    </row>
    <row r="328" spans="1:34" x14ac:dyDescent="0.25">
      <c r="A328" s="26">
        <v>823</v>
      </c>
      <c r="B328" s="26" t="s">
        <v>3826</v>
      </c>
      <c r="C328" s="26">
        <v>804</v>
      </c>
      <c r="K328" s="26" t="s">
        <v>1244</v>
      </c>
      <c r="N328" s="26">
        <v>10</v>
      </c>
      <c r="O328" s="26">
        <v>10</v>
      </c>
      <c r="R328" s="26">
        <f t="shared" si="10"/>
        <v>43</v>
      </c>
      <c r="S328" s="26">
        <f t="shared" si="9"/>
        <v>76698.889678983891</v>
      </c>
      <c r="T328" s="26">
        <v>9</v>
      </c>
      <c r="X328" s="26">
        <f>10+7+8+1</f>
        <v>26</v>
      </c>
      <c r="AC328" s="26">
        <f t="shared" ref="AC328:AH328" si="12">AVERAGE(AC322:AC327)</f>
        <v>3.5</v>
      </c>
      <c r="AD328" s="26">
        <f t="shared" si="12"/>
        <v>4.333333333333333</v>
      </c>
      <c r="AE328" s="26">
        <f t="shared" si="12"/>
        <v>5</v>
      </c>
      <c r="AF328" s="26">
        <f t="shared" si="12"/>
        <v>5.5</v>
      </c>
      <c r="AG328" s="26">
        <f t="shared" si="12"/>
        <v>5.833333333333333</v>
      </c>
      <c r="AH328" s="26">
        <f t="shared" si="12"/>
        <v>6</v>
      </c>
    </row>
    <row r="329" spans="1:34" x14ac:dyDescent="0.25">
      <c r="B329" s="26" t="s">
        <v>3827</v>
      </c>
      <c r="C329" s="26" t="s">
        <v>3831</v>
      </c>
      <c r="E329" s="26">
        <f>3.5+4+5+14+12</f>
        <v>38.5</v>
      </c>
      <c r="K329" s="26" t="s">
        <v>922</v>
      </c>
      <c r="L329" s="26">
        <v>3</v>
      </c>
      <c r="M329" s="26">
        <v>7</v>
      </c>
      <c r="N329" s="26">
        <v>4</v>
      </c>
      <c r="O329" s="26">
        <v>4</v>
      </c>
      <c r="P329" s="26">
        <v>7</v>
      </c>
      <c r="Q329" s="26">
        <v>7</v>
      </c>
      <c r="R329" s="26">
        <f t="shared" si="10"/>
        <v>44</v>
      </c>
      <c r="S329" s="26">
        <f t="shared" si="9"/>
        <v>77465.878575773735</v>
      </c>
      <c r="T329" s="26">
        <v>10</v>
      </c>
      <c r="AC329" s="26">
        <f t="shared" ref="AC329:AH329" si="13">4*AC328+3</f>
        <v>17</v>
      </c>
      <c r="AD329" s="26">
        <f t="shared" si="13"/>
        <v>20.333333333333332</v>
      </c>
      <c r="AE329" s="26">
        <f t="shared" si="13"/>
        <v>23</v>
      </c>
      <c r="AF329" s="26">
        <f t="shared" si="13"/>
        <v>25</v>
      </c>
      <c r="AG329" s="26">
        <f t="shared" si="13"/>
        <v>26.333333333333332</v>
      </c>
      <c r="AH329" s="26">
        <f t="shared" si="13"/>
        <v>27</v>
      </c>
    </row>
    <row r="330" spans="1:34" x14ac:dyDescent="0.25">
      <c r="B330" s="26" t="s">
        <v>3828</v>
      </c>
      <c r="C330" s="26" t="s">
        <v>3832</v>
      </c>
      <c r="D330" s="26">
        <f>30*64000/4</f>
        <v>480000</v>
      </c>
      <c r="G330" s="26">
        <f>10-7-1-5</f>
        <v>-3</v>
      </c>
      <c r="K330" s="26" t="s">
        <v>830</v>
      </c>
      <c r="R330" s="26">
        <f t="shared" si="10"/>
        <v>45</v>
      </c>
      <c r="S330" s="26">
        <f t="shared" si="9"/>
        <v>78240.537361531475</v>
      </c>
      <c r="T330" s="26">
        <v>11</v>
      </c>
      <c r="AC330" s="26">
        <f t="shared" ref="AC330:AH330" si="14">AC329*5</f>
        <v>85</v>
      </c>
      <c r="AD330" s="26">
        <f t="shared" si="14"/>
        <v>101.66666666666666</v>
      </c>
      <c r="AE330" s="26">
        <f t="shared" si="14"/>
        <v>115</v>
      </c>
      <c r="AF330" s="26">
        <f t="shared" si="14"/>
        <v>125</v>
      </c>
      <c r="AG330" s="26">
        <f t="shared" si="14"/>
        <v>131.66666666666666</v>
      </c>
      <c r="AH330" s="26">
        <f t="shared" si="14"/>
        <v>135</v>
      </c>
    </row>
    <row r="331" spans="1:34" x14ac:dyDescent="0.25">
      <c r="D331" s="26">
        <f>30*64000/3</f>
        <v>640000</v>
      </c>
      <c r="G331" s="26">
        <f>10-7-1-4-4</f>
        <v>-6</v>
      </c>
      <c r="K331" s="26" t="s">
        <v>1082</v>
      </c>
      <c r="R331" s="26">
        <f t="shared" si="10"/>
        <v>46</v>
      </c>
      <c r="S331" s="26">
        <f t="shared" si="9"/>
        <v>79022.942735146789</v>
      </c>
    </row>
    <row r="332" spans="1:34" x14ac:dyDescent="0.25">
      <c r="K332" s="26" t="s">
        <v>1541</v>
      </c>
      <c r="M332" s="26">
        <v>1</v>
      </c>
      <c r="N332" s="26">
        <v>3</v>
      </c>
      <c r="P332" s="26">
        <v>1</v>
      </c>
      <c r="R332" s="26">
        <f t="shared" si="10"/>
        <v>47</v>
      </c>
      <c r="S332" s="26">
        <f t="shared" si="9"/>
        <v>79813.17216249826</v>
      </c>
    </row>
    <row r="333" spans="1:34" x14ac:dyDescent="0.25">
      <c r="K333" s="26" t="s">
        <v>841</v>
      </c>
      <c r="M333" s="26">
        <v>4</v>
      </c>
      <c r="N333" s="26">
        <v>4</v>
      </c>
      <c r="O333" s="26">
        <v>4</v>
      </c>
      <c r="P333" s="26">
        <v>4</v>
      </c>
      <c r="Q333" s="26">
        <v>4</v>
      </c>
      <c r="R333" s="26">
        <f t="shared" si="10"/>
        <v>48</v>
      </c>
      <c r="S333" s="26">
        <f t="shared" si="9"/>
        <v>80611.303884123248</v>
      </c>
    </row>
    <row r="334" spans="1:34" x14ac:dyDescent="0.25">
      <c r="B334" s="26" t="s">
        <v>3834</v>
      </c>
      <c r="K334" s="26" t="s">
        <v>2967</v>
      </c>
      <c r="N334" s="26">
        <v>1</v>
      </c>
      <c r="O334" s="26">
        <v>1</v>
      </c>
      <c r="R334" s="26">
        <f t="shared" si="10"/>
        <v>49</v>
      </c>
      <c r="S334" s="26">
        <f t="shared" si="9"/>
        <v>81417.416922964476</v>
      </c>
    </row>
    <row r="335" spans="1:34" x14ac:dyDescent="0.25">
      <c r="B335" s="26" t="s">
        <v>3835</v>
      </c>
      <c r="I335" s="26">
        <f>16+5+5</f>
        <v>26</v>
      </c>
      <c r="K335" s="26" t="s">
        <v>1225</v>
      </c>
      <c r="O335" s="26">
        <v>2</v>
      </c>
      <c r="R335" s="26">
        <f t="shared" si="10"/>
        <v>50</v>
      </c>
      <c r="S335" s="26">
        <f t="shared" si="9"/>
        <v>82231.591092194125</v>
      </c>
    </row>
    <row r="336" spans="1:34" x14ac:dyDescent="0.25">
      <c r="B336" s="26" t="s">
        <v>3836</v>
      </c>
      <c r="K336" s="26" t="s">
        <v>3119</v>
      </c>
      <c r="M336" s="26">
        <v>5</v>
      </c>
      <c r="N336" s="26">
        <v>3</v>
      </c>
      <c r="O336" s="26">
        <v>5</v>
      </c>
      <c r="P336" s="26">
        <v>5</v>
      </c>
      <c r="Q336" s="26">
        <v>2</v>
      </c>
      <c r="R336" s="26">
        <f t="shared" si="10"/>
        <v>51</v>
      </c>
      <c r="S336" s="26">
        <f t="shared" si="9"/>
        <v>83053.907003116066</v>
      </c>
      <c r="W336" s="26">
        <v>1</v>
      </c>
      <c r="X336" s="26" t="s">
        <v>3677</v>
      </c>
    </row>
    <row r="337" spans="2:25" x14ac:dyDescent="0.25">
      <c r="B337" s="26" t="s">
        <v>3837</v>
      </c>
      <c r="K337" s="26" t="s">
        <v>3046</v>
      </c>
      <c r="M337" s="26">
        <v>5</v>
      </c>
      <c r="N337" s="26">
        <v>5</v>
      </c>
      <c r="O337" s="26">
        <v>5</v>
      </c>
      <c r="P337" s="26">
        <v>5</v>
      </c>
      <c r="R337" s="26">
        <f t="shared" si="10"/>
        <v>52</v>
      </c>
      <c r="S337" s="26">
        <f t="shared" si="9"/>
        <v>83884.446073147221</v>
      </c>
      <c r="W337" s="26">
        <v>2</v>
      </c>
      <c r="X337" s="26" t="s">
        <v>922</v>
      </c>
      <c r="Y337" s="26">
        <f>12+10+8</f>
        <v>30</v>
      </c>
    </row>
    <row r="338" spans="2:25" x14ac:dyDescent="0.25">
      <c r="B338" s="26" t="s">
        <v>3838</v>
      </c>
      <c r="K338" s="26" t="s">
        <v>3066</v>
      </c>
      <c r="M338" s="26">
        <v>5</v>
      </c>
      <c r="N338" s="26">
        <v>5</v>
      </c>
      <c r="O338" s="26">
        <v>5</v>
      </c>
      <c r="P338" s="26">
        <v>5</v>
      </c>
      <c r="R338" s="26">
        <f t="shared" si="10"/>
        <v>53</v>
      </c>
      <c r="S338" s="26">
        <f t="shared" si="9"/>
        <v>84723.290533878695</v>
      </c>
      <c r="W338" s="26">
        <v>3</v>
      </c>
      <c r="X338" s="26" t="s">
        <v>922</v>
      </c>
      <c r="Y338" s="26">
        <f>10+12+9+4</f>
        <v>35</v>
      </c>
    </row>
    <row r="339" spans="2:25" x14ac:dyDescent="0.25">
      <c r="K339" s="26" t="s">
        <v>811</v>
      </c>
      <c r="R339" s="26">
        <f t="shared" si="10"/>
        <v>54</v>
      </c>
      <c r="S339" s="26">
        <f t="shared" si="9"/>
        <v>85570.52343921749</v>
      </c>
      <c r="W339" s="26">
        <v>4</v>
      </c>
      <c r="X339" s="26" t="s">
        <v>922</v>
      </c>
    </row>
    <row r="340" spans="2:25" x14ac:dyDescent="0.25">
      <c r="K340" s="26" t="s">
        <v>3058</v>
      </c>
      <c r="R340" s="26">
        <f t="shared" si="10"/>
        <v>55</v>
      </c>
      <c r="S340" s="26">
        <f t="shared" si="9"/>
        <v>86426.228673609672</v>
      </c>
      <c r="V340" s="26">
        <f>10+12</f>
        <v>22</v>
      </c>
      <c r="W340" s="26">
        <v>5</v>
      </c>
      <c r="X340" s="26" t="s">
        <v>3676</v>
      </c>
    </row>
    <row r="341" spans="2:25" x14ac:dyDescent="0.25">
      <c r="C341" s="26">
        <f>-10-6-7-2-1-2-1-3-3</f>
        <v>-35</v>
      </c>
      <c r="F341" s="26">
        <f>75+10</f>
        <v>85</v>
      </c>
      <c r="H341" s="26">
        <f>6*6</f>
        <v>36</v>
      </c>
      <c r="K341" s="26" t="s">
        <v>637</v>
      </c>
      <c r="M341" s="26">
        <v>2</v>
      </c>
      <c r="R341" s="26">
        <f t="shared" si="10"/>
        <v>56</v>
      </c>
      <c r="S341" s="26">
        <f t="shared" si="9"/>
        <v>87290.490960345764</v>
      </c>
      <c r="V341" s="26">
        <f>10+12+8</f>
        <v>30</v>
      </c>
      <c r="W341" s="26">
        <v>6</v>
      </c>
      <c r="X341" s="26" t="s">
        <v>3675</v>
      </c>
    </row>
    <row r="342" spans="2:25" x14ac:dyDescent="0.25">
      <c r="C342" s="26" t="s">
        <v>1085</v>
      </c>
      <c r="K342" s="26" t="s">
        <v>3098</v>
      </c>
      <c r="R342" s="26">
        <f t="shared" si="10"/>
        <v>57</v>
      </c>
      <c r="S342" s="26">
        <f t="shared" si="9"/>
        <v>88163.395869949221</v>
      </c>
      <c r="W342" s="26">
        <v>7</v>
      </c>
      <c r="X342" s="26" t="s">
        <v>3675</v>
      </c>
    </row>
    <row r="343" spans="2:25" x14ac:dyDescent="0.25">
      <c r="B343" s="26" t="s">
        <v>3842</v>
      </c>
      <c r="R343" s="26">
        <f t="shared" si="10"/>
        <v>58</v>
      </c>
      <c r="S343" s="26">
        <f t="shared" si="9"/>
        <v>89045.029828648709</v>
      </c>
      <c r="W343" s="26">
        <v>8</v>
      </c>
    </row>
    <row r="344" spans="2:25" x14ac:dyDescent="0.25">
      <c r="C344" s="26" t="s">
        <v>3841</v>
      </c>
      <c r="F344" s="26">
        <f>7*6</f>
        <v>42</v>
      </c>
      <c r="H344" s="26">
        <f>0.85^5</f>
        <v>0.44370531249999989</v>
      </c>
      <c r="L344" s="26">
        <f t="shared" ref="L344:Q344" si="15">SUM(L325:L343)</f>
        <v>16</v>
      </c>
      <c r="M344" s="26">
        <f t="shared" si="15"/>
        <v>45</v>
      </c>
      <c r="N344" s="26">
        <f t="shared" si="15"/>
        <v>57</v>
      </c>
      <c r="O344" s="26">
        <f t="shared" si="15"/>
        <v>55</v>
      </c>
      <c r="P344" s="26">
        <f t="shared" si="15"/>
        <v>43</v>
      </c>
      <c r="Q344" s="26">
        <f t="shared" si="15"/>
        <v>29</v>
      </c>
      <c r="R344" s="26">
        <f t="shared" si="10"/>
        <v>59</v>
      </c>
      <c r="S344" s="26">
        <f t="shared" si="9"/>
        <v>89935.480126935203</v>
      </c>
    </row>
    <row r="345" spans="2:25" x14ac:dyDescent="0.25">
      <c r="R345" s="26">
        <f t="shared" si="10"/>
        <v>60</v>
      </c>
      <c r="S345" s="26">
        <f t="shared" si="9"/>
        <v>90834.834928204553</v>
      </c>
    </row>
    <row r="346" spans="2:25" x14ac:dyDescent="0.25">
      <c r="C346" s="26" t="s">
        <v>764</v>
      </c>
      <c r="R346" s="26">
        <f t="shared" si="10"/>
        <v>61</v>
      </c>
      <c r="S346" s="26">
        <f t="shared" si="9"/>
        <v>91743.183277486605</v>
      </c>
    </row>
    <row r="347" spans="2:25" x14ac:dyDescent="0.25">
      <c r="C347" s="26" t="s">
        <v>3705</v>
      </c>
      <c r="G347" s="26">
        <f>-4-2-1-5</f>
        <v>-12</v>
      </c>
      <c r="K347" s="26">
        <f>24*24</f>
        <v>576</v>
      </c>
      <c r="R347" s="26">
        <f t="shared" si="10"/>
        <v>62</v>
      </c>
      <c r="S347" s="26">
        <f t="shared" si="9"/>
        <v>92660.615110261468</v>
      </c>
    </row>
    <row r="348" spans="2:25" x14ac:dyDescent="0.25">
      <c r="C348" s="26" t="s">
        <v>3839</v>
      </c>
      <c r="K348" s="26">
        <f>12*12</f>
        <v>144</v>
      </c>
      <c r="R348" s="26">
        <f t="shared" si="10"/>
        <v>63</v>
      </c>
      <c r="S348" s="26">
        <f t="shared" si="9"/>
        <v>93587.221261364088</v>
      </c>
    </row>
    <row r="349" spans="2:25" x14ac:dyDescent="0.25">
      <c r="B349" s="26" t="s">
        <v>3840</v>
      </c>
      <c r="E349" s="26" t="s">
        <v>3845</v>
      </c>
      <c r="K349" s="26">
        <f>144+81</f>
        <v>225</v>
      </c>
      <c r="R349" s="26">
        <f t="shared" si="10"/>
        <v>64</v>
      </c>
      <c r="S349" s="26">
        <f t="shared" si="9"/>
        <v>94523.093473977729</v>
      </c>
    </row>
    <row r="350" spans="2:25" x14ac:dyDescent="0.25">
      <c r="B350" s="26" t="s">
        <v>3844</v>
      </c>
      <c r="E350" s="26" t="s">
        <v>3846</v>
      </c>
      <c r="I350" s="26">
        <f>6/20</f>
        <v>0.3</v>
      </c>
      <c r="K350" s="26">
        <f>15*15</f>
        <v>225</v>
      </c>
      <c r="R350" s="26">
        <f t="shared" si="10"/>
        <v>65</v>
      </c>
      <c r="S350" s="26">
        <f t="shared" ref="S350:S381" si="16">S349*1.01</f>
        <v>95468.324408717512</v>
      </c>
    </row>
    <row r="351" spans="2:25" x14ac:dyDescent="0.25">
      <c r="C351" s="26" t="s">
        <v>3843</v>
      </c>
      <c r="E351" s="26" t="s">
        <v>3847</v>
      </c>
      <c r="I351" s="26">
        <f>0.7^4</f>
        <v>0.24009999999999992</v>
      </c>
      <c r="R351" s="26">
        <f t="shared" ref="R351:R382" si="17">R350+1</f>
        <v>66</v>
      </c>
      <c r="S351" s="26">
        <f t="shared" si="16"/>
        <v>96423.007652804692</v>
      </c>
    </row>
    <row r="352" spans="2:25" x14ac:dyDescent="0.25">
      <c r="C352" s="26" t="s">
        <v>3707</v>
      </c>
      <c r="G352" s="26">
        <f>10-5-4-1-1-4</f>
        <v>-5</v>
      </c>
      <c r="R352" s="26">
        <f t="shared" si="17"/>
        <v>67</v>
      </c>
      <c r="S352" s="26">
        <f t="shared" si="16"/>
        <v>97387.237729332744</v>
      </c>
    </row>
    <row r="353" spans="2:19" x14ac:dyDescent="0.25">
      <c r="H353" s="26">
        <f>(3.5+9+2)*2</f>
        <v>29</v>
      </c>
      <c r="R353" s="26">
        <f t="shared" si="17"/>
        <v>68</v>
      </c>
      <c r="S353" s="26">
        <f t="shared" si="16"/>
        <v>98361.110106626074</v>
      </c>
    </row>
    <row r="354" spans="2:19" x14ac:dyDescent="0.25">
      <c r="R354" s="26">
        <f t="shared" si="17"/>
        <v>69</v>
      </c>
      <c r="S354" s="26">
        <f t="shared" si="16"/>
        <v>99344.721207692332</v>
      </c>
    </row>
    <row r="355" spans="2:19" x14ac:dyDescent="0.25">
      <c r="E355" s="26" t="s">
        <v>627</v>
      </c>
      <c r="R355" s="26">
        <f t="shared" si="17"/>
        <v>70</v>
      </c>
      <c r="S355" s="26">
        <f t="shared" si="16"/>
        <v>100338.16841976925</v>
      </c>
    </row>
    <row r="356" spans="2:19" x14ac:dyDescent="0.25">
      <c r="R356" s="26">
        <f t="shared" si="17"/>
        <v>71</v>
      </c>
      <c r="S356" s="26">
        <f t="shared" si="16"/>
        <v>101341.55010396695</v>
      </c>
    </row>
    <row r="357" spans="2:19" x14ac:dyDescent="0.25">
      <c r="C357" s="26" t="s">
        <v>3858</v>
      </c>
      <c r="R357" s="26">
        <f t="shared" si="17"/>
        <v>72</v>
      </c>
      <c r="S357" s="26">
        <f t="shared" si="16"/>
        <v>102354.96560500661</v>
      </c>
    </row>
    <row r="358" spans="2:19" x14ac:dyDescent="0.25">
      <c r="B358" s="26" t="s">
        <v>2224</v>
      </c>
      <c r="C358" s="26" t="s">
        <v>1808</v>
      </c>
      <c r="O358" s="26" t="s">
        <v>3888</v>
      </c>
      <c r="P358" s="26" t="s">
        <v>1005</v>
      </c>
      <c r="R358" s="26">
        <f t="shared" si="17"/>
        <v>73</v>
      </c>
      <c r="S358" s="26">
        <f t="shared" si="16"/>
        <v>103378.51526105667</v>
      </c>
    </row>
    <row r="359" spans="2:19" x14ac:dyDescent="0.25">
      <c r="C359" s="26" t="s">
        <v>3859</v>
      </c>
      <c r="O359" s="26" t="s">
        <v>2229</v>
      </c>
      <c r="P359" s="26" t="s">
        <v>3879</v>
      </c>
      <c r="R359" s="26">
        <f t="shared" si="17"/>
        <v>74</v>
      </c>
      <c r="S359" s="26">
        <f t="shared" si="16"/>
        <v>104412.30041366724</v>
      </c>
    </row>
    <row r="360" spans="2:19" x14ac:dyDescent="0.25">
      <c r="C360" s="26" t="s">
        <v>1238</v>
      </c>
      <c r="O360" s="26" t="s">
        <v>3866</v>
      </c>
      <c r="R360" s="26">
        <f t="shared" si="17"/>
        <v>75</v>
      </c>
      <c r="S360" s="26">
        <f t="shared" si="16"/>
        <v>105456.42341780392</v>
      </c>
    </row>
    <row r="361" spans="2:19" x14ac:dyDescent="0.25">
      <c r="C361" s="26" t="s">
        <v>1618</v>
      </c>
      <c r="F361" s="26" t="s">
        <v>1848</v>
      </c>
      <c r="G361" s="26" t="s">
        <v>3861</v>
      </c>
      <c r="J361" s="26" t="s">
        <v>3863</v>
      </c>
      <c r="O361" s="26" t="s">
        <v>2302</v>
      </c>
      <c r="R361" s="26">
        <f t="shared" si="17"/>
        <v>76</v>
      </c>
      <c r="S361" s="26">
        <f t="shared" si="16"/>
        <v>106510.98765198195</v>
      </c>
    </row>
    <row r="362" spans="2:19" x14ac:dyDescent="0.25">
      <c r="C362" s="26" t="s">
        <v>1819</v>
      </c>
      <c r="F362" s="26" t="s">
        <v>1848</v>
      </c>
      <c r="G362" s="26" t="s">
        <v>3862</v>
      </c>
      <c r="J362" s="26" t="s">
        <v>3864</v>
      </c>
      <c r="O362" s="26" t="s">
        <v>1539</v>
      </c>
      <c r="R362" s="26">
        <f t="shared" si="17"/>
        <v>77</v>
      </c>
      <c r="S362" s="26">
        <f t="shared" si="16"/>
        <v>107576.09752850178</v>
      </c>
    </row>
    <row r="363" spans="2:19" x14ac:dyDescent="0.25">
      <c r="F363" s="26" t="s">
        <v>1181</v>
      </c>
      <c r="G363" s="26" t="s">
        <v>1292</v>
      </c>
      <c r="J363" s="26" t="s">
        <v>3865</v>
      </c>
      <c r="O363" s="26" t="s">
        <v>2232</v>
      </c>
      <c r="P363" s="26" t="s">
        <v>3880</v>
      </c>
      <c r="R363" s="26">
        <f t="shared" si="17"/>
        <v>78</v>
      </c>
      <c r="S363" s="26">
        <f t="shared" si="16"/>
        <v>108651.8585037868</v>
      </c>
    </row>
    <row r="364" spans="2:19" x14ac:dyDescent="0.25">
      <c r="C364" s="26" t="s">
        <v>1292</v>
      </c>
      <c r="F364" s="26" t="s">
        <v>1183</v>
      </c>
      <c r="G364" s="26" t="s">
        <v>1494</v>
      </c>
      <c r="O364" s="26" t="s">
        <v>3869</v>
      </c>
      <c r="P364" s="26" t="s">
        <v>3881</v>
      </c>
      <c r="R364" s="26">
        <f t="shared" si="17"/>
        <v>79</v>
      </c>
      <c r="S364" s="26">
        <f t="shared" si="16"/>
        <v>109738.37708882467</v>
      </c>
    </row>
    <row r="365" spans="2:19" x14ac:dyDescent="0.25">
      <c r="C365" s="26" t="s">
        <v>3711</v>
      </c>
      <c r="F365" s="26" t="s">
        <v>1849</v>
      </c>
      <c r="G365" s="26" t="s">
        <v>1238</v>
      </c>
      <c r="K365" s="26" t="s">
        <v>3867</v>
      </c>
      <c r="L365" s="26" t="s">
        <v>3876</v>
      </c>
      <c r="M365" s="26" t="s">
        <v>3877</v>
      </c>
      <c r="O365" s="26" t="s">
        <v>3870</v>
      </c>
      <c r="R365" s="26">
        <f t="shared" si="17"/>
        <v>80</v>
      </c>
      <c r="S365" s="26">
        <f t="shared" si="16"/>
        <v>110835.76085971291</v>
      </c>
    </row>
    <row r="366" spans="2:19" x14ac:dyDescent="0.25">
      <c r="C366" s="26" t="s">
        <v>2095</v>
      </c>
      <c r="O366" s="26" t="s">
        <v>2231</v>
      </c>
      <c r="R366" s="26">
        <f t="shared" si="17"/>
        <v>81</v>
      </c>
      <c r="S366" s="26">
        <f t="shared" si="16"/>
        <v>111944.11846831004</v>
      </c>
    </row>
    <row r="367" spans="2:19" x14ac:dyDescent="0.25">
      <c r="C367" s="26" t="s">
        <v>3860</v>
      </c>
      <c r="K367" s="26" t="s">
        <v>3866</v>
      </c>
      <c r="L367" s="26" t="s">
        <v>3866</v>
      </c>
      <c r="M367" s="26" t="s">
        <v>2314</v>
      </c>
      <c r="O367" s="26" t="s">
        <v>1151</v>
      </c>
      <c r="P367" s="26" t="s">
        <v>3882</v>
      </c>
      <c r="R367" s="26">
        <f t="shared" si="17"/>
        <v>82</v>
      </c>
      <c r="S367" s="26">
        <f t="shared" si="16"/>
        <v>113063.55965299315</v>
      </c>
    </row>
    <row r="368" spans="2:19" x14ac:dyDescent="0.25">
      <c r="C368" s="26" t="s">
        <v>1799</v>
      </c>
      <c r="K368" s="26" t="s">
        <v>2314</v>
      </c>
      <c r="L368" s="26" t="s">
        <v>2302</v>
      </c>
      <c r="M368" s="26" t="s">
        <v>3888</v>
      </c>
      <c r="O368" s="26" t="s">
        <v>1469</v>
      </c>
      <c r="P368" s="26" t="s">
        <v>3883</v>
      </c>
      <c r="R368" s="26">
        <f t="shared" si="17"/>
        <v>83</v>
      </c>
      <c r="S368" s="26">
        <f t="shared" si="16"/>
        <v>114194.19524952308</v>
      </c>
    </row>
    <row r="369" spans="3:19" x14ac:dyDescent="0.25">
      <c r="C369" s="26" t="s">
        <v>100</v>
      </c>
      <c r="K369" s="26" t="s">
        <v>3868</v>
      </c>
      <c r="L369" s="26" t="s">
        <v>1469</v>
      </c>
      <c r="M369" s="26" t="s">
        <v>2229</v>
      </c>
      <c r="O369" s="26" t="s">
        <v>3871</v>
      </c>
      <c r="P369" s="26" t="s">
        <v>3884</v>
      </c>
      <c r="R369" s="26">
        <f t="shared" si="17"/>
        <v>84</v>
      </c>
      <c r="S369" s="26">
        <f t="shared" si="16"/>
        <v>115336.1372020183</v>
      </c>
    </row>
    <row r="370" spans="3:19" x14ac:dyDescent="0.25">
      <c r="C370" s="26" t="s">
        <v>1813</v>
      </c>
      <c r="K370" s="26" t="s">
        <v>2301</v>
      </c>
      <c r="L370" s="26" t="s">
        <v>3872</v>
      </c>
      <c r="M370" s="26" t="s">
        <v>3866</v>
      </c>
      <c r="O370" s="26" t="s">
        <v>3252</v>
      </c>
      <c r="P370" s="26" t="s">
        <v>3885</v>
      </c>
      <c r="R370" s="26">
        <f t="shared" si="17"/>
        <v>85</v>
      </c>
      <c r="S370" s="26">
        <f t="shared" si="16"/>
        <v>116489.49857403849</v>
      </c>
    </row>
    <row r="371" spans="3:19" x14ac:dyDescent="0.25">
      <c r="C371" s="26" t="s">
        <v>552</v>
      </c>
      <c r="K371" s="26" t="s">
        <v>2231</v>
      </c>
      <c r="L371" s="26" t="s">
        <v>3868</v>
      </c>
      <c r="M371" s="26" t="s">
        <v>2302</v>
      </c>
      <c r="O371" s="26" t="s">
        <v>3872</v>
      </c>
      <c r="P371" s="26" t="s">
        <v>3886</v>
      </c>
      <c r="R371" s="26">
        <f t="shared" si="17"/>
        <v>86</v>
      </c>
      <c r="S371" s="26">
        <f t="shared" si="16"/>
        <v>117654.39355977888</v>
      </c>
    </row>
    <row r="372" spans="3:19" x14ac:dyDescent="0.25">
      <c r="C372" s="26" t="s">
        <v>1494</v>
      </c>
      <c r="K372" s="26" t="s">
        <v>3869</v>
      </c>
      <c r="L372" s="26" t="s">
        <v>2301</v>
      </c>
      <c r="M372" s="26" t="s">
        <v>1539</v>
      </c>
      <c r="O372" s="26" t="s">
        <v>3868</v>
      </c>
      <c r="P372" s="26" t="s">
        <v>3887</v>
      </c>
      <c r="R372" s="26">
        <f t="shared" si="17"/>
        <v>87</v>
      </c>
      <c r="S372" s="26">
        <f t="shared" si="16"/>
        <v>118830.93749537667</v>
      </c>
    </row>
    <row r="373" spans="3:19" x14ac:dyDescent="0.25">
      <c r="C373" s="26" t="s">
        <v>2116</v>
      </c>
      <c r="K373" s="26" t="s">
        <v>2228</v>
      </c>
      <c r="M373" s="26" t="s">
        <v>3870</v>
      </c>
      <c r="O373" s="26" t="s">
        <v>2301</v>
      </c>
      <c r="P373" s="26" t="s">
        <v>1310</v>
      </c>
      <c r="R373" s="26">
        <f t="shared" si="17"/>
        <v>88</v>
      </c>
      <c r="S373" s="26">
        <f t="shared" si="16"/>
        <v>120019.24687033043</v>
      </c>
    </row>
    <row r="374" spans="3:19" x14ac:dyDescent="0.25">
      <c r="K374" s="26" t="s">
        <v>3875</v>
      </c>
      <c r="M374" s="26" t="s">
        <v>1469</v>
      </c>
      <c r="O374" s="26" t="s">
        <v>3873</v>
      </c>
      <c r="R374" s="26">
        <f t="shared" si="17"/>
        <v>89</v>
      </c>
      <c r="S374" s="26">
        <f t="shared" si="16"/>
        <v>121219.43933903374</v>
      </c>
    </row>
    <row r="375" spans="3:19" x14ac:dyDescent="0.25">
      <c r="K375" s="26" t="s">
        <v>1469</v>
      </c>
      <c r="M375" s="26" t="s">
        <v>3871</v>
      </c>
      <c r="O375" s="26" t="s">
        <v>3874</v>
      </c>
      <c r="P375" s="26" t="s">
        <v>3889</v>
      </c>
      <c r="R375" s="26">
        <f t="shared" si="17"/>
        <v>90</v>
      </c>
      <c r="S375" s="26">
        <f t="shared" si="16"/>
        <v>122431.63373242407</v>
      </c>
    </row>
    <row r="376" spans="3:19" x14ac:dyDescent="0.25">
      <c r="K376" s="26" t="s">
        <v>3888</v>
      </c>
      <c r="M376" s="26" t="s">
        <v>3252</v>
      </c>
      <c r="O376" s="26" t="s">
        <v>2314</v>
      </c>
      <c r="P376" s="26" t="s">
        <v>1007</v>
      </c>
      <c r="R376" s="26">
        <f t="shared" si="17"/>
        <v>91</v>
      </c>
      <c r="S376" s="26">
        <f t="shared" si="16"/>
        <v>123655.95006974832</v>
      </c>
    </row>
    <row r="377" spans="3:19" x14ac:dyDescent="0.25">
      <c r="D377" s="26">
        <f>3*4.5+5</f>
        <v>18.5</v>
      </c>
      <c r="M377" s="26" t="s">
        <v>3872</v>
      </c>
      <c r="O377" s="26" t="s">
        <v>2230</v>
      </c>
      <c r="R377" s="26">
        <f t="shared" si="17"/>
        <v>92</v>
      </c>
      <c r="S377" s="26">
        <f t="shared" si="16"/>
        <v>124892.50957044581</v>
      </c>
    </row>
    <row r="378" spans="3:19" x14ac:dyDescent="0.25">
      <c r="D378" s="26">
        <f>D377*0.7</f>
        <v>12.95</v>
      </c>
      <c r="F378" s="26" t="s">
        <v>1470</v>
      </c>
      <c r="M378" s="26" t="s">
        <v>3868</v>
      </c>
      <c r="R378" s="26">
        <f t="shared" si="17"/>
        <v>93</v>
      </c>
      <c r="S378" s="26">
        <f t="shared" si="16"/>
        <v>126141.43466615026</v>
      </c>
    </row>
    <row r="379" spans="3:19" x14ac:dyDescent="0.25">
      <c r="D379" s="26">
        <f>98/D378</f>
        <v>7.5675675675675675</v>
      </c>
      <c r="F379" s="26" t="s">
        <v>3888</v>
      </c>
      <c r="G379" s="26" t="s">
        <v>3894</v>
      </c>
      <c r="M379" s="26" t="s">
        <v>2301</v>
      </c>
      <c r="R379" s="26">
        <f t="shared" si="17"/>
        <v>94</v>
      </c>
      <c r="S379" s="26">
        <f t="shared" si="16"/>
        <v>127402.84901281177</v>
      </c>
    </row>
    <row r="380" spans="3:19" x14ac:dyDescent="0.25">
      <c r="F380" s="26" t="s">
        <v>2229</v>
      </c>
      <c r="G380" s="26" t="s">
        <v>3879</v>
      </c>
      <c r="M380" s="26" t="s">
        <v>3873</v>
      </c>
      <c r="R380" s="26">
        <f t="shared" si="17"/>
        <v>95</v>
      </c>
      <c r="S380" s="26">
        <f t="shared" si="16"/>
        <v>128676.87750293988</v>
      </c>
    </row>
    <row r="381" spans="3:19" x14ac:dyDescent="0.25">
      <c r="F381" s="26" t="s">
        <v>3866</v>
      </c>
      <c r="G381" s="26" t="s">
        <v>3891</v>
      </c>
      <c r="M381" s="26" t="s">
        <v>3874</v>
      </c>
      <c r="R381" s="26">
        <f t="shared" si="17"/>
        <v>96</v>
      </c>
      <c r="S381" s="26">
        <f t="shared" si="16"/>
        <v>129963.64627796928</v>
      </c>
    </row>
    <row r="382" spans="3:19" x14ac:dyDescent="0.25">
      <c r="F382" s="26" t="s">
        <v>2302</v>
      </c>
      <c r="G382" s="26" t="s">
        <v>3878</v>
      </c>
      <c r="R382" s="26">
        <f t="shared" si="17"/>
        <v>97</v>
      </c>
      <c r="S382" s="26">
        <f t="shared" ref="S382:S409" si="18">S381*1.01</f>
        <v>131263.28274074898</v>
      </c>
    </row>
    <row r="383" spans="3:19" x14ac:dyDescent="0.25">
      <c r="F383" s="26" t="s">
        <v>1539</v>
      </c>
      <c r="R383" s="26">
        <f t="shared" ref="R383:R409" si="19">R382+1</f>
        <v>98</v>
      </c>
      <c r="S383" s="26">
        <f t="shared" si="18"/>
        <v>132575.91556815646</v>
      </c>
    </row>
    <row r="384" spans="3:19" x14ac:dyDescent="0.25">
      <c r="F384" s="26" t="s">
        <v>2232</v>
      </c>
      <c r="G384" s="26" t="s">
        <v>3880</v>
      </c>
      <c r="R384" s="26">
        <f t="shared" si="19"/>
        <v>99</v>
      </c>
      <c r="S384" s="26">
        <f t="shared" si="18"/>
        <v>133901.67472383802</v>
      </c>
    </row>
    <row r="385" spans="6:19" x14ac:dyDescent="0.25">
      <c r="F385" s="26" t="s">
        <v>3869</v>
      </c>
      <c r="G385" s="26" t="s">
        <v>3881</v>
      </c>
      <c r="R385" s="26">
        <f t="shared" si="19"/>
        <v>100</v>
      </c>
      <c r="S385" s="26">
        <f t="shared" si="18"/>
        <v>135240.6914710764</v>
      </c>
    </row>
    <row r="386" spans="6:19" x14ac:dyDescent="0.25">
      <c r="F386" s="26" t="s">
        <v>3870</v>
      </c>
      <c r="R386" s="26">
        <f t="shared" si="19"/>
        <v>101</v>
      </c>
      <c r="S386" s="26">
        <f t="shared" si="18"/>
        <v>136593.09838578716</v>
      </c>
    </row>
    <row r="387" spans="6:19" x14ac:dyDescent="0.25">
      <c r="F387" s="26" t="s">
        <v>2231</v>
      </c>
      <c r="R387" s="26">
        <f t="shared" si="19"/>
        <v>102</v>
      </c>
      <c r="S387" s="26">
        <f t="shared" si="18"/>
        <v>137959.02936964502</v>
      </c>
    </row>
    <row r="388" spans="6:19" x14ac:dyDescent="0.25">
      <c r="F388" s="26" t="s">
        <v>1151</v>
      </c>
      <c r="G388" s="26" t="s">
        <v>3882</v>
      </c>
      <c r="R388" s="26">
        <f t="shared" si="19"/>
        <v>103</v>
      </c>
      <c r="S388" s="26">
        <f t="shared" si="18"/>
        <v>139338.61966334147</v>
      </c>
    </row>
    <row r="389" spans="6:19" x14ac:dyDescent="0.25">
      <c r="F389" s="26" t="s">
        <v>1469</v>
      </c>
      <c r="G389" s="26" t="s">
        <v>3893</v>
      </c>
      <c r="R389" s="26">
        <f t="shared" si="19"/>
        <v>104</v>
      </c>
      <c r="S389" s="26">
        <f t="shared" si="18"/>
        <v>140732.00585997489</v>
      </c>
    </row>
    <row r="390" spans="6:19" x14ac:dyDescent="0.25">
      <c r="F390" s="26" t="s">
        <v>3895</v>
      </c>
      <c r="G390" s="26" t="s">
        <v>3884</v>
      </c>
      <c r="R390" s="26">
        <f t="shared" si="19"/>
        <v>105</v>
      </c>
      <c r="S390" s="26">
        <f t="shared" si="18"/>
        <v>142139.32591857464</v>
      </c>
    </row>
    <row r="391" spans="6:19" x14ac:dyDescent="0.25">
      <c r="F391" s="26" t="s">
        <v>3252</v>
      </c>
      <c r="G391" s="26" t="s">
        <v>3885</v>
      </c>
      <c r="R391" s="26">
        <f t="shared" si="19"/>
        <v>106</v>
      </c>
      <c r="S391" s="26">
        <f t="shared" si="18"/>
        <v>143560.71917776039</v>
      </c>
    </row>
    <row r="392" spans="6:19" x14ac:dyDescent="0.25">
      <c r="F392" s="26" t="s">
        <v>3872</v>
      </c>
      <c r="G392" s="26" t="s">
        <v>3892</v>
      </c>
      <c r="R392" s="26">
        <f t="shared" si="19"/>
        <v>107</v>
      </c>
      <c r="S392" s="26">
        <f t="shared" si="18"/>
        <v>144996.326369538</v>
      </c>
    </row>
    <row r="393" spans="6:19" x14ac:dyDescent="0.25">
      <c r="F393" s="26" t="s">
        <v>3868</v>
      </c>
      <c r="G393" s="26" t="s">
        <v>3890</v>
      </c>
      <c r="R393" s="26">
        <f t="shared" si="19"/>
        <v>108</v>
      </c>
      <c r="S393" s="26">
        <f t="shared" si="18"/>
        <v>146446.28963323339</v>
      </c>
    </row>
    <row r="394" spans="6:19" x14ac:dyDescent="0.25">
      <c r="F394" s="26" t="s">
        <v>2301</v>
      </c>
      <c r="G394" s="26" t="s">
        <v>1310</v>
      </c>
      <c r="R394" s="26">
        <f t="shared" si="19"/>
        <v>109</v>
      </c>
      <c r="S394" s="26">
        <f t="shared" si="18"/>
        <v>147910.75252956574</v>
      </c>
    </row>
    <row r="395" spans="6:19" x14ac:dyDescent="0.25">
      <c r="F395" s="26" t="s">
        <v>3873</v>
      </c>
      <c r="R395" s="26">
        <f t="shared" si="19"/>
        <v>110</v>
      </c>
      <c r="S395" s="26">
        <f t="shared" si="18"/>
        <v>149389.8600548614</v>
      </c>
    </row>
    <row r="396" spans="6:19" x14ac:dyDescent="0.25">
      <c r="F396" s="26" t="s">
        <v>3874</v>
      </c>
      <c r="G396" s="26" t="s">
        <v>3889</v>
      </c>
      <c r="R396" s="26">
        <f t="shared" si="19"/>
        <v>111</v>
      </c>
      <c r="S396" s="26">
        <f t="shared" si="18"/>
        <v>150883.75865541003</v>
      </c>
    </row>
    <row r="397" spans="6:19" x14ac:dyDescent="0.25">
      <c r="F397" s="26" t="s">
        <v>2314</v>
      </c>
      <c r="G397" s="26" t="s">
        <v>1007</v>
      </c>
      <c r="R397" s="26">
        <f t="shared" si="19"/>
        <v>112</v>
      </c>
      <c r="S397" s="26">
        <f t="shared" si="18"/>
        <v>152392.59624196411</v>
      </c>
    </row>
    <row r="398" spans="6:19" x14ac:dyDescent="0.25">
      <c r="F398" s="26" t="s">
        <v>2230</v>
      </c>
      <c r="R398" s="26">
        <f t="shared" si="19"/>
        <v>113</v>
      </c>
      <c r="S398" s="26">
        <f t="shared" si="18"/>
        <v>153916.52220438377</v>
      </c>
    </row>
    <row r="399" spans="6:19" x14ac:dyDescent="0.25">
      <c r="R399" s="26">
        <f t="shared" si="19"/>
        <v>114</v>
      </c>
      <c r="S399" s="26">
        <f t="shared" si="18"/>
        <v>155455.68742642761</v>
      </c>
    </row>
    <row r="400" spans="6:19" x14ac:dyDescent="0.25">
      <c r="R400" s="26">
        <f t="shared" si="19"/>
        <v>115</v>
      </c>
      <c r="S400" s="26">
        <f t="shared" si="18"/>
        <v>157010.24430069188</v>
      </c>
    </row>
    <row r="401" spans="2:19" x14ac:dyDescent="0.25">
      <c r="L401" s="26">
        <f>(24+2+6+2)*(1+1+1)</f>
        <v>102</v>
      </c>
      <c r="M401" s="26">
        <f>13-3-2-1-2</f>
        <v>5</v>
      </c>
      <c r="N401" s="26">
        <f>(40+12+2+2)*(1+1+1)</f>
        <v>168</v>
      </c>
      <c r="R401" s="26">
        <f t="shared" si="19"/>
        <v>116</v>
      </c>
      <c r="S401" s="26">
        <f t="shared" si="18"/>
        <v>158580.34674369878</v>
      </c>
    </row>
    <row r="402" spans="2:19" x14ac:dyDescent="0.25">
      <c r="R402" s="26">
        <f t="shared" si="19"/>
        <v>117</v>
      </c>
      <c r="S402" s="26">
        <f t="shared" si="18"/>
        <v>160166.15021113577</v>
      </c>
    </row>
    <row r="403" spans="2:19" x14ac:dyDescent="0.25">
      <c r="C403" s="26">
        <f>4.5+4.5+3+2+10+2</f>
        <v>26</v>
      </c>
      <c r="D403" s="26">
        <f>8+8+3+2+10+2</f>
        <v>33</v>
      </c>
      <c r="L403" s="26">
        <f>(3.5+6+3+2+1+2)*2*(1+1)+2*(3.5+3+2+1+2)</f>
        <v>93</v>
      </c>
      <c r="M403" s="26">
        <f>13-3-1-1-2-2</f>
        <v>4</v>
      </c>
      <c r="R403" s="26">
        <f t="shared" si="19"/>
        <v>118</v>
      </c>
      <c r="S403" s="26">
        <f t="shared" si="18"/>
        <v>161767.81171324712</v>
      </c>
    </row>
    <row r="404" spans="2:19" x14ac:dyDescent="0.25">
      <c r="C404" s="26">
        <f>C403*(1+0.5+1)</f>
        <v>65</v>
      </c>
      <c r="D404" s="26">
        <f>D403*(1+0.5+1)</f>
        <v>82.5</v>
      </c>
      <c r="R404" s="26">
        <f t="shared" si="19"/>
        <v>119</v>
      </c>
      <c r="S404" s="26">
        <f t="shared" si="18"/>
        <v>163385.48983037961</v>
      </c>
    </row>
    <row r="405" spans="2:19" x14ac:dyDescent="0.25">
      <c r="C405" s="26">
        <f>5+3+14+4+5</f>
        <v>31</v>
      </c>
      <c r="D405" s="26">
        <f>8+3+14+4+5</f>
        <v>34</v>
      </c>
      <c r="E405" s="1" t="s">
        <v>3896</v>
      </c>
      <c r="R405" s="26">
        <f t="shared" si="19"/>
        <v>120</v>
      </c>
      <c r="S405" s="26">
        <f t="shared" si="18"/>
        <v>165019.34472868341</v>
      </c>
    </row>
    <row r="406" spans="2:19" x14ac:dyDescent="0.25">
      <c r="C406" s="26">
        <f>C405*3</f>
        <v>93</v>
      </c>
      <c r="D406" s="26">
        <f>D405*3</f>
        <v>102</v>
      </c>
      <c r="P406" s="26">
        <f>(8+3+14+2+2)*2+(6+3+2+2+2+14)</f>
        <v>87</v>
      </c>
      <c r="R406" s="26">
        <f t="shared" si="19"/>
        <v>121</v>
      </c>
      <c r="S406" s="26">
        <f t="shared" si="18"/>
        <v>166669.53817597026</v>
      </c>
    </row>
    <row r="407" spans="2:19" x14ac:dyDescent="0.25">
      <c r="E407" s="1" t="s">
        <v>3897</v>
      </c>
      <c r="M407" s="26">
        <f>(40+12+2+2+2)*(1+1+1)</f>
        <v>174</v>
      </c>
      <c r="N407" s="26">
        <f>(40+12+2+2+6)*(1+1+1+1+1+1)</f>
        <v>372</v>
      </c>
      <c r="P407" s="26">
        <f>(40+12+2+2)*2</f>
        <v>112</v>
      </c>
      <c r="R407" s="26">
        <f t="shared" si="19"/>
        <v>122</v>
      </c>
      <c r="S407" s="26">
        <f t="shared" si="18"/>
        <v>168336.23355772995</v>
      </c>
    </row>
    <row r="408" spans="2:19" x14ac:dyDescent="0.25">
      <c r="E408" s="1" t="s">
        <v>3901</v>
      </c>
      <c r="G408" s="1" t="s">
        <v>3905</v>
      </c>
      <c r="M408" s="26">
        <f>(5.5*4+12+2+2)*(1+1)*2</f>
        <v>152</v>
      </c>
      <c r="N408" s="26">
        <f>(5.5*4+12+8)*(1+1+1+1+1)*2</f>
        <v>420</v>
      </c>
      <c r="R408" s="26">
        <f t="shared" si="19"/>
        <v>123</v>
      </c>
      <c r="S408" s="26">
        <f t="shared" si="18"/>
        <v>170019.59589330724</v>
      </c>
    </row>
    <row r="409" spans="2:19" x14ac:dyDescent="0.25">
      <c r="E409" s="3" t="s">
        <v>3898</v>
      </c>
      <c r="G409" s="3" t="s">
        <v>3906</v>
      </c>
      <c r="R409" s="26">
        <f t="shared" si="19"/>
        <v>124</v>
      </c>
      <c r="S409" s="26">
        <f t="shared" si="18"/>
        <v>171719.79185224031</v>
      </c>
    </row>
    <row r="410" spans="2:19" x14ac:dyDescent="0.25">
      <c r="E410" s="3" t="s">
        <v>3899</v>
      </c>
      <c r="G410" s="1" t="s">
        <v>3907</v>
      </c>
      <c r="P410" s="26">
        <f>12-6-2-8-2</f>
        <v>-6</v>
      </c>
    </row>
    <row r="411" spans="2:19" x14ac:dyDescent="0.25">
      <c r="B411" s="26">
        <f>(4+4+20)*6+7</f>
        <v>175</v>
      </c>
      <c r="E411" s="3" t="s">
        <v>1094</v>
      </c>
      <c r="G411" s="1" t="s">
        <v>3908</v>
      </c>
    </row>
    <row r="412" spans="2:19" x14ac:dyDescent="0.25">
      <c r="E412" s="1" t="s">
        <v>3900</v>
      </c>
      <c r="G412" s="3" t="s">
        <v>500</v>
      </c>
      <c r="N412" s="26">
        <f>10*(40+12+2+8+2)</f>
        <v>640</v>
      </c>
    </row>
    <row r="413" spans="2:19" x14ac:dyDescent="0.25">
      <c r="E413" s="3" t="s">
        <v>3903</v>
      </c>
      <c r="G413" s="3" t="s">
        <v>2362</v>
      </c>
      <c r="N413" s="26">
        <f>N412*4</f>
        <v>2560</v>
      </c>
    </row>
    <row r="414" spans="2:19" x14ac:dyDescent="0.25">
      <c r="B414" s="26">
        <f>(13+5+5+2+7)*(1+0.5+1)*2</f>
        <v>160</v>
      </c>
      <c r="E414" s="1" t="s">
        <v>3842</v>
      </c>
      <c r="G414" s="5" t="s">
        <v>3910</v>
      </c>
    </row>
    <row r="415" spans="2:19" x14ac:dyDescent="0.25">
      <c r="E415" s="1" t="s">
        <v>3904</v>
      </c>
      <c r="G415" s="3" t="s">
        <v>1083</v>
      </c>
      <c r="N415" s="26">
        <f>N413/2</f>
        <v>1280</v>
      </c>
    </row>
    <row r="416" spans="2:19" x14ac:dyDescent="0.25">
      <c r="E416" s="1" t="s">
        <v>3902</v>
      </c>
      <c r="H416" s="26">
        <f>5.5*4</f>
        <v>22</v>
      </c>
    </row>
    <row r="417" spans="3:12" x14ac:dyDescent="0.25">
      <c r="H417" s="26">
        <f>26*5+6</f>
        <v>136</v>
      </c>
      <c r="I417"/>
      <c r="J417" s="1"/>
    </row>
    <row r="418" spans="3:12" x14ac:dyDescent="0.25">
      <c r="E418" s="1" t="s">
        <v>3909</v>
      </c>
      <c r="H418" s="26">
        <f>42*5+12</f>
        <v>222</v>
      </c>
      <c r="I418" t="s">
        <v>3914</v>
      </c>
      <c r="J418" s="1" t="s">
        <v>3913</v>
      </c>
    </row>
    <row r="419" spans="3:12" x14ac:dyDescent="0.25">
      <c r="H419" s="26">
        <f>(24+5+5+2)*5+7</f>
        <v>187</v>
      </c>
      <c r="I419" s="1" t="s">
        <v>630</v>
      </c>
      <c r="J419" s="1" t="s">
        <v>3912</v>
      </c>
    </row>
    <row r="420" spans="3:12" x14ac:dyDescent="0.25">
      <c r="C420" s="4"/>
      <c r="D420" s="1"/>
      <c r="F420" s="1"/>
      <c r="I420" s="1" t="s">
        <v>1493</v>
      </c>
      <c r="J420" s="1" t="s">
        <v>3911</v>
      </c>
    </row>
    <row r="421" spans="3:12" x14ac:dyDescent="0.25">
      <c r="D421" s="1"/>
      <c r="F421" s="1"/>
      <c r="I421"/>
      <c r="J421" s="1"/>
      <c r="L421" s="26">
        <f>(6+5+2+2+3)*2*2+2*7+(6+4+2+3+7)</f>
        <v>108</v>
      </c>
    </row>
    <row r="422" spans="3:12" x14ac:dyDescent="0.25">
      <c r="D422" s="1"/>
      <c r="F422" s="1"/>
      <c r="I422" t="s">
        <v>1631</v>
      </c>
    </row>
    <row r="423" spans="3:12" x14ac:dyDescent="0.25">
      <c r="D423" s="1"/>
      <c r="F423" s="1"/>
      <c r="I423" t="s">
        <v>632</v>
      </c>
      <c r="J423" s="1" t="s">
        <v>3915</v>
      </c>
    </row>
    <row r="424" spans="3:12" x14ac:dyDescent="0.25">
      <c r="D424" s="1"/>
      <c r="F424" s="1"/>
      <c r="I424"/>
      <c r="J424" s="1"/>
      <c r="L424" s="26">
        <f>(40+2+2+3)*2*2+2*12</f>
        <v>212</v>
      </c>
    </row>
    <row r="425" spans="3:12" x14ac:dyDescent="0.25">
      <c r="D425" s="1"/>
      <c r="F425" s="1"/>
      <c r="I425"/>
      <c r="J425" s="1"/>
    </row>
    <row r="426" spans="3:12" x14ac:dyDescent="0.25">
      <c r="I426"/>
      <c r="J426" s="1"/>
    </row>
    <row r="427" spans="3:12" x14ac:dyDescent="0.25">
      <c r="K427" s="26">
        <f>3*(3.5+3+14)+(5+3+5+14)</f>
        <v>88.5</v>
      </c>
    </row>
    <row r="428" spans="3:12" x14ac:dyDescent="0.25">
      <c r="C428" s="1" t="s">
        <v>3916</v>
      </c>
      <c r="D428" s="26">
        <v>19</v>
      </c>
      <c r="E428" s="1" t="s">
        <v>2499</v>
      </c>
      <c r="F428" s="26">
        <v>2.5</v>
      </c>
      <c r="J428" s="1"/>
    </row>
    <row r="429" spans="3:12" x14ac:dyDescent="0.25">
      <c r="C429" s="1" t="s">
        <v>3917</v>
      </c>
      <c r="D429" s="26">
        <v>18</v>
      </c>
      <c r="E429" s="1" t="s">
        <v>2499</v>
      </c>
      <c r="F429" s="26">
        <v>2.5</v>
      </c>
      <c r="J429" s="1"/>
    </row>
    <row r="430" spans="3:12" x14ac:dyDescent="0.25">
      <c r="C430" s="1" t="s">
        <v>3918</v>
      </c>
      <c r="D430" s="26">
        <v>11</v>
      </c>
      <c r="E430" s="1" t="s">
        <v>2501</v>
      </c>
      <c r="F430" s="26">
        <v>10</v>
      </c>
      <c r="I430"/>
      <c r="J430" s="1"/>
    </row>
    <row r="431" spans="3:12" x14ac:dyDescent="0.25">
      <c r="C431" s="1" t="s">
        <v>3848</v>
      </c>
      <c r="D431" s="26">
        <v>14</v>
      </c>
      <c r="E431" s="1" t="s">
        <v>2500</v>
      </c>
      <c r="F431" s="1">
        <v>7.5</v>
      </c>
      <c r="I431"/>
      <c r="J431" s="1"/>
      <c r="K431" s="26">
        <f>40+20</f>
        <v>60</v>
      </c>
    </row>
    <row r="432" spans="3:12" x14ac:dyDescent="0.25">
      <c r="C432" s="1" t="s">
        <v>3919</v>
      </c>
      <c r="D432" s="26">
        <v>15</v>
      </c>
      <c r="E432" s="1" t="s">
        <v>2331</v>
      </c>
      <c r="F432" s="1">
        <v>5</v>
      </c>
      <c r="G432" s="26">
        <f>(40+2+3)*5+14</f>
        <v>239</v>
      </c>
      <c r="I432" s="1" t="s">
        <v>3924</v>
      </c>
      <c r="J432" s="1"/>
    </row>
    <row r="433" spans="2:13" x14ac:dyDescent="0.25">
      <c r="C433" s="1" t="s">
        <v>3921</v>
      </c>
      <c r="D433" s="26">
        <v>9</v>
      </c>
      <c r="E433" s="1" t="s">
        <v>2501</v>
      </c>
      <c r="F433" s="1">
        <v>10</v>
      </c>
      <c r="I433" s="1" t="s">
        <v>3925</v>
      </c>
      <c r="J433" s="1"/>
    </row>
    <row r="434" spans="2:13" x14ac:dyDescent="0.25">
      <c r="C434" s="1" t="s">
        <v>3922</v>
      </c>
      <c r="D434" s="1">
        <v>16</v>
      </c>
      <c r="E434" s="1" t="s">
        <v>2331</v>
      </c>
      <c r="F434" s="1">
        <v>5</v>
      </c>
      <c r="I434" s="1" t="s">
        <v>3923</v>
      </c>
      <c r="J434" s="1"/>
    </row>
    <row r="435" spans="2:13" x14ac:dyDescent="0.25">
      <c r="C435" s="1" t="s">
        <v>1636</v>
      </c>
      <c r="D435" s="1">
        <v>17</v>
      </c>
      <c r="E435" s="1" t="s">
        <v>2331</v>
      </c>
      <c r="F435" s="1">
        <v>5</v>
      </c>
      <c r="I435" t="s">
        <v>3926</v>
      </c>
      <c r="J435" s="1"/>
    </row>
    <row r="436" spans="2:13" x14ac:dyDescent="0.25">
      <c r="C436" s="1" t="s">
        <v>3920</v>
      </c>
      <c r="D436" s="1">
        <v>18</v>
      </c>
      <c r="E436" s="1" t="s">
        <v>2499</v>
      </c>
      <c r="F436" s="1">
        <v>2.5</v>
      </c>
      <c r="I436" s="1" t="s">
        <v>3928</v>
      </c>
      <c r="J436" s="1"/>
    </row>
    <row r="437" spans="2:13" x14ac:dyDescent="0.25">
      <c r="I437" s="1" t="s">
        <v>3927</v>
      </c>
      <c r="J437" s="1"/>
    </row>
    <row r="438" spans="2:13" x14ac:dyDescent="0.25">
      <c r="I438"/>
      <c r="J438"/>
    </row>
    <row r="439" spans="2:13" x14ac:dyDescent="0.25">
      <c r="F439" s="26">
        <f>1+0.5+0.5+0.5+1</f>
        <v>3.5</v>
      </c>
      <c r="I439"/>
      <c r="J439"/>
    </row>
    <row r="440" spans="2:13" x14ac:dyDescent="0.25">
      <c r="I440"/>
      <c r="J440"/>
    </row>
    <row r="441" spans="2:13" x14ac:dyDescent="0.25">
      <c r="E441" s="26">
        <v>18</v>
      </c>
      <c r="F441" s="26">
        <v>12</v>
      </c>
      <c r="G441" s="26">
        <v>32</v>
      </c>
      <c r="H441" s="26">
        <v>21</v>
      </c>
      <c r="I441" s="1"/>
      <c r="J441" t="s">
        <v>3931</v>
      </c>
    </row>
    <row r="442" spans="2:13" x14ac:dyDescent="0.25">
      <c r="E442" s="26">
        <v>17</v>
      </c>
      <c r="F442" s="26">
        <v>13</v>
      </c>
      <c r="G442" s="26">
        <v>26</v>
      </c>
      <c r="H442" s="26">
        <v>14</v>
      </c>
      <c r="I442" s="1"/>
      <c r="J442"/>
    </row>
    <row r="443" spans="2:13" x14ac:dyDescent="0.25">
      <c r="E443" s="26">
        <v>22</v>
      </c>
      <c r="F443" s="26">
        <v>15</v>
      </c>
      <c r="G443" s="26">
        <v>37</v>
      </c>
      <c r="H443" s="26">
        <v>23</v>
      </c>
      <c r="I443" s="1"/>
      <c r="J443" t="s">
        <v>3210</v>
      </c>
    </row>
    <row r="444" spans="2:13" x14ac:dyDescent="0.25">
      <c r="D444" s="26">
        <f>7+5+8</f>
        <v>20</v>
      </c>
      <c r="H444" s="26">
        <f>21+14+23</f>
        <v>58</v>
      </c>
      <c r="I444" s="1"/>
      <c r="J444" t="s">
        <v>3929</v>
      </c>
      <c r="M444" s="26">
        <f>-10-6-2-2-2-2-1-3</f>
        <v>-28</v>
      </c>
    </row>
    <row r="445" spans="2:13" x14ac:dyDescent="0.25">
      <c r="I445" s="1"/>
      <c r="J445" s="1" t="s">
        <v>1074</v>
      </c>
      <c r="M445" s="26">
        <f>4.5+4.5+4+14</f>
        <v>27</v>
      </c>
    </row>
    <row r="446" spans="2:13" x14ac:dyDescent="0.25">
      <c r="B446" s="26">
        <v>1</v>
      </c>
      <c r="C446" s="26">
        <v>1</v>
      </c>
      <c r="D446" s="1" t="s">
        <v>3935</v>
      </c>
      <c r="F446" s="26">
        <f>(1+0.5+0.5+0.5+0.5+1)*5*(13+5+5)*2+100+(4.5+2+2)*5*2</f>
        <v>1105</v>
      </c>
      <c r="I446" s="1"/>
      <c r="J446" s="1" t="s">
        <v>3932</v>
      </c>
    </row>
    <row r="447" spans="2:13" x14ac:dyDescent="0.25">
      <c r="B447" s="26">
        <v>1</v>
      </c>
      <c r="C447" s="26">
        <v>1</v>
      </c>
      <c r="D447" s="1" t="s">
        <v>3933</v>
      </c>
      <c r="I447" s="1"/>
      <c r="J447" s="1"/>
    </row>
    <row r="448" spans="2:13" x14ac:dyDescent="0.25">
      <c r="B448" s="26">
        <v>1</v>
      </c>
      <c r="D448" s="1" t="s">
        <v>3938</v>
      </c>
      <c r="J448" s="1"/>
      <c r="M448" s="26">
        <f>4.5+14+35</f>
        <v>53.5</v>
      </c>
    </row>
    <row r="449" spans="1:13" x14ac:dyDescent="0.25">
      <c r="B449" s="1">
        <v>1</v>
      </c>
      <c r="D449" s="1" t="s">
        <v>3939</v>
      </c>
      <c r="J449" s="1"/>
    </row>
    <row r="450" spans="1:13" x14ac:dyDescent="0.25">
      <c r="B450" s="1">
        <v>1</v>
      </c>
      <c r="D450" s="1" t="s">
        <v>3934</v>
      </c>
      <c r="G450" s="26">
        <f>(1+1+0.5+1)</f>
        <v>3.5</v>
      </c>
      <c r="J450" s="1"/>
    </row>
    <row r="451" spans="1:13" x14ac:dyDescent="0.25">
      <c r="B451" s="1">
        <v>1</v>
      </c>
      <c r="D451" s="1" t="s">
        <v>3932</v>
      </c>
      <c r="G451" s="26">
        <f>G450*15</f>
        <v>52.5</v>
      </c>
      <c r="J451" s="1" t="s">
        <v>801</v>
      </c>
      <c r="K451" s="1" t="s">
        <v>800</v>
      </c>
    </row>
    <row r="452" spans="1:13" x14ac:dyDescent="0.25">
      <c r="A452" s="26">
        <v>5</v>
      </c>
      <c r="B452" s="1">
        <v>10</v>
      </c>
      <c r="C452" s="26">
        <v>5</v>
      </c>
      <c r="D452" s="1" t="s">
        <v>1074</v>
      </c>
      <c r="J452" s="1">
        <v>-2</v>
      </c>
      <c r="K452" s="26">
        <v>1</v>
      </c>
    </row>
    <row r="453" spans="1:13" x14ac:dyDescent="0.25">
      <c r="B453" s="1">
        <v>5</v>
      </c>
      <c r="C453" s="26">
        <v>1</v>
      </c>
      <c r="D453" s="1" t="s">
        <v>3936</v>
      </c>
      <c r="J453" s="1">
        <f>J452-2-1-2-2-1</f>
        <v>-10</v>
      </c>
      <c r="K453" s="1">
        <f>K452-2-1-2-2-1</f>
        <v>-7</v>
      </c>
    </row>
    <row r="454" spans="1:13" x14ac:dyDescent="0.25">
      <c r="B454" s="1">
        <v>5</v>
      </c>
      <c r="C454" s="26">
        <v>1</v>
      </c>
      <c r="D454" s="1" t="s">
        <v>3937</v>
      </c>
      <c r="J454" s="1"/>
      <c r="K454" s="26">
        <f>K453+4+2+4</f>
        <v>3</v>
      </c>
    </row>
    <row r="455" spans="1:13" x14ac:dyDescent="0.25">
      <c r="A455" s="26">
        <v>1</v>
      </c>
      <c r="B455" s="1">
        <v>5</v>
      </c>
      <c r="C455" s="26">
        <v>1</v>
      </c>
      <c r="D455" s="1" t="s">
        <v>3210</v>
      </c>
      <c r="H455" s="26">
        <f>1-1-3-6-2-1</f>
        <v>-12</v>
      </c>
      <c r="J455" s="1"/>
    </row>
    <row r="456" spans="1:13" x14ac:dyDescent="0.25">
      <c r="A456" s="26">
        <v>10</v>
      </c>
      <c r="B456" s="1">
        <v>20</v>
      </c>
      <c r="C456" s="26">
        <v>9</v>
      </c>
      <c r="D456" s="1" t="s">
        <v>3929</v>
      </c>
      <c r="G456" s="26">
        <f>2*(1+0.5+0.5+0.5+1)</f>
        <v>7</v>
      </c>
      <c r="I456" s="26">
        <f>40+25+20</f>
        <v>85</v>
      </c>
      <c r="J456" s="1"/>
      <c r="M456" s="26">
        <f>(5+9+5)*4</f>
        <v>76</v>
      </c>
    </row>
    <row r="457" spans="1:13" x14ac:dyDescent="0.25">
      <c r="A457" s="26">
        <v>1</v>
      </c>
      <c r="B457" s="1">
        <v>1</v>
      </c>
      <c r="C457" s="26">
        <v>1</v>
      </c>
      <c r="D457" s="1" t="s">
        <v>3930</v>
      </c>
      <c r="J457" s="1"/>
      <c r="M457" s="26">
        <f>M456*0.75</f>
        <v>57</v>
      </c>
    </row>
    <row r="458" spans="1:13" x14ac:dyDescent="0.25">
      <c r="A458" s="26">
        <f>SUM(A446:A457)+1+1+1+1</f>
        <v>21</v>
      </c>
      <c r="B458" s="26">
        <f>SUM(B446:B457)+1+1+1+1</f>
        <v>56</v>
      </c>
      <c r="C458" s="26">
        <f>SUM(C446:C457)</f>
        <v>20</v>
      </c>
      <c r="J458" s="1"/>
      <c r="M458" s="26">
        <f>M457*0.4</f>
        <v>22.8</v>
      </c>
    </row>
    <row r="459" spans="1:13" x14ac:dyDescent="0.25">
      <c r="A459" s="1" t="s">
        <v>1674</v>
      </c>
      <c r="B459" s="1" t="s">
        <v>3940</v>
      </c>
      <c r="F459" s="26">
        <v>-12</v>
      </c>
      <c r="J459" s="1"/>
    </row>
    <row r="460" spans="1:13" x14ac:dyDescent="0.25">
      <c r="J460" s="1"/>
    </row>
    <row r="461" spans="1:13" x14ac:dyDescent="0.25">
      <c r="F461" s="26">
        <f>10-3-5-12</f>
        <v>-10</v>
      </c>
      <c r="H461" s="26">
        <f>3*4*2</f>
        <v>24</v>
      </c>
      <c r="J461" s="26">
        <f>10-3-5-2-1</f>
        <v>-1</v>
      </c>
    </row>
    <row r="463" spans="1:13" x14ac:dyDescent="0.25">
      <c r="H463" s="26">
        <f>2.5+3+24</f>
        <v>29.5</v>
      </c>
      <c r="J463" s="26">
        <f>3.5+1+2+3</f>
        <v>9.5</v>
      </c>
    </row>
    <row r="464" spans="1:13" x14ac:dyDescent="0.25">
      <c r="H464" s="26">
        <f>H463*3*5</f>
        <v>442.5</v>
      </c>
      <c r="J464" s="26">
        <f>J463*0.75</f>
        <v>7.125</v>
      </c>
      <c r="L464" s="26">
        <f>3*10*5</f>
        <v>150</v>
      </c>
    </row>
    <row r="465" spans="10:12" x14ac:dyDescent="0.25">
      <c r="J465" s="26">
        <f>J464*0.4</f>
        <v>2.85</v>
      </c>
      <c r="L465" s="26">
        <f>J465*L464</f>
        <v>427.5</v>
      </c>
    </row>
    <row r="466" spans="10:12" x14ac:dyDescent="0.25">
      <c r="J466" s="26">
        <f>J465*3*5*10</f>
        <v>427.5</v>
      </c>
    </row>
  </sheetData>
  <sortState ref="G109:G113">
    <sortCondition ref="G109"/>
  </sortState>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432B99-3801-448D-81C9-49C5EE7DA62C}">
  <dimension ref="A4:U453"/>
  <sheetViews>
    <sheetView topLeftCell="B430" workbookViewId="0">
      <selection activeCell="C211" sqref="C211"/>
    </sheetView>
  </sheetViews>
  <sheetFormatPr defaultRowHeight="15" x14ac:dyDescent="0.25"/>
  <cols>
    <col min="7" max="7" width="10" bestFit="1" customWidth="1"/>
    <col min="12" max="12" width="9.5703125" customWidth="1"/>
  </cols>
  <sheetData>
    <row r="4" spans="2:17" x14ac:dyDescent="0.25">
      <c r="C4" t="s">
        <v>1238</v>
      </c>
      <c r="F4">
        <v>1</v>
      </c>
      <c r="G4">
        <v>5</v>
      </c>
      <c r="H4">
        <v>11</v>
      </c>
      <c r="I4">
        <v>16</v>
      </c>
      <c r="J4">
        <v>21</v>
      </c>
      <c r="L4">
        <f>3*2*(8+14)</f>
        <v>132</v>
      </c>
    </row>
    <row r="5" spans="2:17" x14ac:dyDescent="0.25">
      <c r="C5" t="s">
        <v>1819</v>
      </c>
      <c r="F5">
        <f>4.5*2+5</f>
        <v>14</v>
      </c>
      <c r="G5">
        <f>F5*2</f>
        <v>28</v>
      </c>
      <c r="H5">
        <f>(F5+3.5*6)*3</f>
        <v>105</v>
      </c>
      <c r="I5">
        <f>(F5+4*4.5)*4</f>
        <v>128</v>
      </c>
      <c r="J5">
        <f>(F5+20)*5</f>
        <v>170</v>
      </c>
    </row>
    <row r="6" spans="2:17" x14ac:dyDescent="0.25">
      <c r="C6" t="s">
        <v>2047</v>
      </c>
      <c r="F6">
        <f>4.5*3+5</f>
        <v>18.5</v>
      </c>
      <c r="G6">
        <f>F6*2</f>
        <v>37</v>
      </c>
      <c r="H6">
        <f>F6*3</f>
        <v>55.5</v>
      </c>
      <c r="M6">
        <f>2*(3.5+1+3+1)</f>
        <v>17</v>
      </c>
      <c r="Q6">
        <v>8</v>
      </c>
    </row>
    <row r="7" spans="2:17" x14ac:dyDescent="0.25">
      <c r="C7" t="s">
        <v>1282</v>
      </c>
      <c r="G7">
        <f>G5+G6</f>
        <v>65</v>
      </c>
      <c r="H7">
        <f>H5+H6</f>
        <v>160.5</v>
      </c>
      <c r="I7">
        <f>I5+I6</f>
        <v>128</v>
      </c>
      <c r="J7">
        <f>J5+J6</f>
        <v>170</v>
      </c>
      <c r="Q7">
        <f>3</f>
        <v>3</v>
      </c>
    </row>
    <row r="8" spans="2:17" x14ac:dyDescent="0.25">
      <c r="C8" t="s">
        <v>580</v>
      </c>
      <c r="P8">
        <f>20*3.5*0.5*6</f>
        <v>210</v>
      </c>
      <c r="Q8">
        <f>0.5^3</f>
        <v>0.125</v>
      </c>
    </row>
    <row r="9" spans="2:17" x14ac:dyDescent="0.25">
      <c r="C9" t="s">
        <v>1212</v>
      </c>
      <c r="L9">
        <f>21000+1400*5</f>
        <v>28000</v>
      </c>
      <c r="P9">
        <f>7*3.5*3</f>
        <v>73.5</v>
      </c>
      <c r="Q9">
        <f>1-Q8</f>
        <v>0.875</v>
      </c>
    </row>
    <row r="10" spans="2:17" x14ac:dyDescent="0.25">
      <c r="C10" t="s">
        <v>2413</v>
      </c>
      <c r="H10">
        <f>8*6</f>
        <v>48</v>
      </c>
    </row>
    <row r="11" spans="2:17" x14ac:dyDescent="0.25">
      <c r="C11" t="s">
        <v>2507</v>
      </c>
      <c r="H11">
        <f>H10*2</f>
        <v>96</v>
      </c>
      <c r="M11">
        <f>4*(10.5+4+3+1)</f>
        <v>74</v>
      </c>
      <c r="N11">
        <f>12*3.5*5</f>
        <v>210</v>
      </c>
    </row>
    <row r="12" spans="2:17" x14ac:dyDescent="0.25">
      <c r="C12" t="s">
        <v>3712</v>
      </c>
      <c r="H12">
        <f>220-96</f>
        <v>124</v>
      </c>
      <c r="J12">
        <f>4*(5+9)</f>
        <v>56</v>
      </c>
      <c r="O12">
        <f>4*5*2*10</f>
        <v>400</v>
      </c>
    </row>
    <row r="14" spans="2:17" x14ac:dyDescent="0.25">
      <c r="D14">
        <f>4.5+5+5.5+7</f>
        <v>22</v>
      </c>
      <c r="G14" t="s">
        <v>1238</v>
      </c>
      <c r="I14">
        <f>220*0.75</f>
        <v>165</v>
      </c>
    </row>
    <row r="15" spans="2:17" x14ac:dyDescent="0.25">
      <c r="B15" t="s">
        <v>3713</v>
      </c>
      <c r="C15" t="s">
        <v>1819</v>
      </c>
      <c r="G15" t="s">
        <v>1238</v>
      </c>
      <c r="I15">
        <f>165-96</f>
        <v>69</v>
      </c>
      <c r="K15">
        <f>3.5*(3.5+6)</f>
        <v>33.25</v>
      </c>
      <c r="N15">
        <f>5+9</f>
        <v>14</v>
      </c>
      <c r="O15">
        <f>8+14+1</f>
        <v>23</v>
      </c>
    </row>
    <row r="16" spans="2:17" x14ac:dyDescent="0.25">
      <c r="B16" t="s">
        <v>1848</v>
      </c>
      <c r="C16" t="s">
        <v>3514</v>
      </c>
      <c r="G16" t="s">
        <v>1282</v>
      </c>
      <c r="N16">
        <f>14*3</f>
        <v>42</v>
      </c>
      <c r="O16">
        <f>23*6</f>
        <v>138</v>
      </c>
    </row>
    <row r="17" spans="2:16" x14ac:dyDescent="0.25">
      <c r="B17" t="s">
        <v>1181</v>
      </c>
      <c r="C17" t="s">
        <v>2412</v>
      </c>
      <c r="G17" t="s">
        <v>1212</v>
      </c>
    </row>
    <row r="18" spans="2:16" x14ac:dyDescent="0.25">
      <c r="B18" t="s">
        <v>1849</v>
      </c>
      <c r="C18" t="s">
        <v>1238</v>
      </c>
      <c r="G18" t="s">
        <v>3711</v>
      </c>
      <c r="J18">
        <f>7+9</f>
        <v>16</v>
      </c>
    </row>
    <row r="19" spans="2:16" x14ac:dyDescent="0.25">
      <c r="B19" t="s">
        <v>1849</v>
      </c>
      <c r="C19" t="s">
        <v>1238</v>
      </c>
      <c r="G19" t="s">
        <v>1819</v>
      </c>
      <c r="J19">
        <f>18*6</f>
        <v>108</v>
      </c>
      <c r="N19">
        <f>2*4*(13+5+5)+2*3</f>
        <v>190</v>
      </c>
    </row>
    <row r="20" spans="2:16" x14ac:dyDescent="0.25">
      <c r="B20" t="s">
        <v>1849</v>
      </c>
      <c r="C20" t="s">
        <v>1238</v>
      </c>
    </row>
    <row r="22" spans="2:16" x14ac:dyDescent="0.25">
      <c r="C22" t="s">
        <v>3716</v>
      </c>
      <c r="L22">
        <f>5*(4+4+1)+14</f>
        <v>59</v>
      </c>
    </row>
    <row r="23" spans="2:16" x14ac:dyDescent="0.25">
      <c r="L23">
        <f>15*3.5+30</f>
        <v>82.5</v>
      </c>
      <c r="N23">
        <f>0.5*3*4*(5.5+5.5+14)</f>
        <v>150</v>
      </c>
      <c r="P23">
        <f>4*(5.5+5.5+14)</f>
        <v>100</v>
      </c>
    </row>
    <row r="24" spans="2:16" x14ac:dyDescent="0.25">
      <c r="C24" t="s">
        <v>3715</v>
      </c>
      <c r="L24">
        <f>L23/2</f>
        <v>41.25</v>
      </c>
      <c r="N24">
        <f>N23*0.25</f>
        <v>37.5</v>
      </c>
    </row>
    <row r="25" spans="2:16" x14ac:dyDescent="0.25">
      <c r="C25" t="s">
        <v>3714</v>
      </c>
      <c r="L25">
        <f>L24/2</f>
        <v>20.625</v>
      </c>
      <c r="N25">
        <f>500/N24</f>
        <v>13.333333333333334</v>
      </c>
    </row>
    <row r="26" spans="2:16" x14ac:dyDescent="0.25">
      <c r="C26" t="s">
        <v>3721</v>
      </c>
      <c r="L26">
        <f>2*3.5*10</f>
        <v>70</v>
      </c>
      <c r="P26">
        <f>40+25+25</f>
        <v>90</v>
      </c>
    </row>
    <row r="27" spans="2:16" x14ac:dyDescent="0.25">
      <c r="C27" t="s">
        <v>3720</v>
      </c>
    </row>
    <row r="28" spans="2:16" x14ac:dyDescent="0.25">
      <c r="O28">
        <f>27*3</f>
        <v>81</v>
      </c>
    </row>
    <row r="29" spans="2:16" x14ac:dyDescent="0.25">
      <c r="C29" t="s">
        <v>620</v>
      </c>
      <c r="K29">
        <f>1-7-1-1-1</f>
        <v>-9</v>
      </c>
      <c r="M29">
        <f>1-7-6</f>
        <v>-12</v>
      </c>
    </row>
    <row r="30" spans="2:16" x14ac:dyDescent="0.25">
      <c r="C30" t="s">
        <v>3717</v>
      </c>
      <c r="P30">
        <f>3*5*9</f>
        <v>135</v>
      </c>
    </row>
    <row r="31" spans="2:16" x14ac:dyDescent="0.25">
      <c r="C31" t="s">
        <v>2318</v>
      </c>
      <c r="I31">
        <f>3*6*20</f>
        <v>360</v>
      </c>
    </row>
    <row r="32" spans="2:16" x14ac:dyDescent="0.25">
      <c r="C32" t="s">
        <v>3718</v>
      </c>
    </row>
    <row r="33" spans="2:20" x14ac:dyDescent="0.25">
      <c r="C33" t="s">
        <v>2533</v>
      </c>
      <c r="M33" s="9"/>
    </row>
    <row r="34" spans="2:20" x14ac:dyDescent="0.25">
      <c r="C34" t="s">
        <v>3719</v>
      </c>
      <c r="H34" t="s">
        <v>2478</v>
      </c>
      <c r="J34" t="s">
        <v>3941</v>
      </c>
      <c r="M34" s="9"/>
    </row>
    <row r="35" spans="2:20" x14ac:dyDescent="0.25">
      <c r="M35" s="9"/>
      <c r="N35">
        <f>7+5+9</f>
        <v>21</v>
      </c>
    </row>
    <row r="36" spans="2:20" x14ac:dyDescent="0.25">
      <c r="H36" t="s">
        <v>1292</v>
      </c>
      <c r="J36" t="s">
        <v>1808</v>
      </c>
      <c r="M36" s="9"/>
    </row>
    <row r="37" spans="2:20" x14ac:dyDescent="0.25">
      <c r="H37" t="s">
        <v>1819</v>
      </c>
      <c r="J37" t="s">
        <v>1287</v>
      </c>
      <c r="M37" s="9"/>
      <c r="O37" t="s">
        <v>631</v>
      </c>
      <c r="R37" t="s">
        <v>3947</v>
      </c>
      <c r="S37">
        <v>900</v>
      </c>
      <c r="T37">
        <v>1</v>
      </c>
    </row>
    <row r="38" spans="2:20" x14ac:dyDescent="0.25">
      <c r="D38" t="s">
        <v>2281</v>
      </c>
      <c r="H38" t="s">
        <v>1238</v>
      </c>
      <c r="J38" t="s">
        <v>552</v>
      </c>
      <c r="M38" s="9"/>
      <c r="O38" t="s">
        <v>631</v>
      </c>
      <c r="R38" t="s">
        <v>3948</v>
      </c>
      <c r="S38">
        <v>1800</v>
      </c>
      <c r="T38">
        <v>2</v>
      </c>
    </row>
    <row r="39" spans="2:20" x14ac:dyDescent="0.25">
      <c r="B39">
        <v>6</v>
      </c>
      <c r="C39">
        <f>B39*3</f>
        <v>18</v>
      </c>
      <c r="D39" t="s">
        <v>3943</v>
      </c>
      <c r="H39" t="s">
        <v>1238</v>
      </c>
      <c r="J39" t="s">
        <v>1799</v>
      </c>
      <c r="M39" s="9"/>
      <c r="O39" t="s">
        <v>3944</v>
      </c>
      <c r="R39" t="s">
        <v>3949</v>
      </c>
      <c r="S39">
        <v>9800</v>
      </c>
      <c r="T39">
        <v>4</v>
      </c>
    </row>
    <row r="40" spans="2:20" x14ac:dyDescent="0.25">
      <c r="B40">
        <f>B39</f>
        <v>6</v>
      </c>
      <c r="C40">
        <f>B40*3</f>
        <v>18</v>
      </c>
      <c r="D40" t="s">
        <v>3943</v>
      </c>
      <c r="H40" t="s">
        <v>1238</v>
      </c>
      <c r="J40" t="s">
        <v>1809</v>
      </c>
      <c r="M40" s="9">
        <f>300000*6</f>
        <v>1800000</v>
      </c>
      <c r="O40" t="s">
        <v>3945</v>
      </c>
      <c r="R40" t="s">
        <v>3953</v>
      </c>
      <c r="S40">
        <v>18800</v>
      </c>
      <c r="T40">
        <v>5</v>
      </c>
    </row>
    <row r="41" spans="2:20" x14ac:dyDescent="0.25">
      <c r="B41">
        <f>B40</f>
        <v>6</v>
      </c>
      <c r="C41">
        <f>B41*3</f>
        <v>18</v>
      </c>
      <c r="D41" t="s">
        <v>3943</v>
      </c>
      <c r="H41" t="s">
        <v>1238</v>
      </c>
      <c r="J41" t="s">
        <v>1284</v>
      </c>
      <c r="M41" s="9"/>
      <c r="O41" t="s">
        <v>3946</v>
      </c>
      <c r="R41" t="s">
        <v>3955</v>
      </c>
      <c r="S41">
        <v>20000</v>
      </c>
      <c r="T41">
        <v>6</v>
      </c>
    </row>
    <row r="42" spans="2:20" x14ac:dyDescent="0.25">
      <c r="B42">
        <f>B41</f>
        <v>6</v>
      </c>
      <c r="C42">
        <f>B42*3</f>
        <v>18</v>
      </c>
      <c r="D42" t="s">
        <v>3943</v>
      </c>
      <c r="E42" s="9"/>
      <c r="F42" s="9"/>
      <c r="G42" s="9"/>
      <c r="H42" s="9"/>
      <c r="I42" s="9"/>
      <c r="J42" s="9"/>
      <c r="K42" s="9"/>
      <c r="M42" s="9"/>
      <c r="N42" s="9"/>
      <c r="P42" t="s">
        <v>3961</v>
      </c>
    </row>
    <row r="43" spans="2:20" x14ac:dyDescent="0.25">
      <c r="B43">
        <f>B42</f>
        <v>6</v>
      </c>
      <c r="C43">
        <f>B43*3</f>
        <v>18</v>
      </c>
      <c r="D43" t="s">
        <v>3943</v>
      </c>
      <c r="E43" s="9"/>
      <c r="F43" s="9"/>
      <c r="I43" s="9"/>
      <c r="J43" s="9"/>
      <c r="K43" s="9"/>
      <c r="M43" s="9"/>
      <c r="N43" s="9"/>
      <c r="P43" t="s">
        <v>3959</v>
      </c>
    </row>
    <row r="44" spans="2:20" x14ac:dyDescent="0.25">
      <c r="C44">
        <f>SUM(C39:C43)</f>
        <v>90</v>
      </c>
      <c r="E44" s="9"/>
      <c r="F44" s="9"/>
      <c r="H44">
        <f>1905-1878</f>
        <v>27</v>
      </c>
      <c r="I44" s="9"/>
      <c r="J44" s="9"/>
      <c r="K44" s="9"/>
      <c r="L44" s="9"/>
      <c r="M44" s="9"/>
      <c r="N44" s="9"/>
      <c r="O44" t="s">
        <v>3956</v>
      </c>
    </row>
    <row r="45" spans="2:20" x14ac:dyDescent="0.25">
      <c r="D45" s="9"/>
      <c r="E45" s="9"/>
      <c r="F45" s="9"/>
      <c r="I45" s="9">
        <f>500000*6</f>
        <v>3000000</v>
      </c>
      <c r="J45" s="9"/>
      <c r="K45" s="9">
        <f>8/6</f>
        <v>1.3333333333333333</v>
      </c>
      <c r="L45" s="9"/>
      <c r="M45" s="9">
        <f>578/33</f>
        <v>17.515151515151516</v>
      </c>
      <c r="N45" s="9"/>
      <c r="P45" t="s">
        <v>3960</v>
      </c>
    </row>
    <row r="46" spans="2:20" x14ac:dyDescent="0.25">
      <c r="D46" s="9"/>
      <c r="E46" s="9"/>
      <c r="F46" s="9"/>
      <c r="I46" s="9"/>
      <c r="J46" s="9"/>
      <c r="K46" s="9"/>
      <c r="L46" s="9"/>
      <c r="M46" s="9"/>
      <c r="N46" s="9"/>
      <c r="O46" t="s">
        <v>3950</v>
      </c>
    </row>
    <row r="47" spans="2:20" x14ac:dyDescent="0.25">
      <c r="C47">
        <f>6*5*3</f>
        <v>90</v>
      </c>
      <c r="O47" t="s">
        <v>3951</v>
      </c>
    </row>
    <row r="48" spans="2:20" x14ac:dyDescent="0.25">
      <c r="H48">
        <f>27*365</f>
        <v>9855</v>
      </c>
      <c r="O48" t="s">
        <v>1951</v>
      </c>
    </row>
    <row r="49" spans="3:18" x14ac:dyDescent="0.25">
      <c r="I49">
        <f>40*7*3</f>
        <v>840</v>
      </c>
      <c r="O49" t="s">
        <v>3958</v>
      </c>
    </row>
    <row r="50" spans="3:18" x14ac:dyDescent="0.25">
      <c r="P50" t="s">
        <v>3952</v>
      </c>
    </row>
    <row r="51" spans="3:18" x14ac:dyDescent="0.25">
      <c r="P51" t="s">
        <v>3954</v>
      </c>
    </row>
    <row r="52" spans="3:18" x14ac:dyDescent="0.25">
      <c r="I52">
        <f>2000000/H48</f>
        <v>202.94266869609336</v>
      </c>
      <c r="O52" t="s">
        <v>3957</v>
      </c>
    </row>
    <row r="53" spans="3:18" x14ac:dyDescent="0.25">
      <c r="D53" t="s">
        <v>3967</v>
      </c>
      <c r="O53" t="s">
        <v>3965</v>
      </c>
    </row>
    <row r="54" spans="3:18" x14ac:dyDescent="0.25">
      <c r="D54" t="s">
        <v>3968</v>
      </c>
      <c r="O54" t="s">
        <v>3962</v>
      </c>
    </row>
    <row r="55" spans="3:18" x14ac:dyDescent="0.25">
      <c r="D55" t="s">
        <v>1917</v>
      </c>
      <c r="O55" t="s">
        <v>3963</v>
      </c>
      <c r="P55" t="s">
        <v>3963</v>
      </c>
    </row>
    <row r="56" spans="3:18" x14ac:dyDescent="0.25">
      <c r="D56" t="s">
        <v>3977</v>
      </c>
      <c r="O56" t="s">
        <v>3964</v>
      </c>
    </row>
    <row r="57" spans="3:18" x14ac:dyDescent="0.25">
      <c r="D57" t="s">
        <v>3970</v>
      </c>
      <c r="O57" t="s">
        <v>3966</v>
      </c>
      <c r="P57" t="s">
        <v>3966</v>
      </c>
    </row>
    <row r="58" spans="3:18" x14ac:dyDescent="0.25">
      <c r="D58" t="s">
        <v>3971</v>
      </c>
    </row>
    <row r="59" spans="3:18" x14ac:dyDescent="0.25">
      <c r="D59" t="s">
        <v>3969</v>
      </c>
      <c r="I59">
        <f>56/2</f>
        <v>28</v>
      </c>
    </row>
    <row r="60" spans="3:18" x14ac:dyDescent="0.25">
      <c r="C60">
        <f>18/1.25</f>
        <v>14.4</v>
      </c>
      <c r="D60" t="s">
        <v>3972</v>
      </c>
      <c r="I60">
        <f>28/2</f>
        <v>14</v>
      </c>
      <c r="K60">
        <f>2*3*(5+2+10)+2*(4.5+3+2+10)</f>
        <v>141</v>
      </c>
      <c r="L60">
        <f>700*0.25</f>
        <v>175</v>
      </c>
      <c r="M60" t="s">
        <v>2750</v>
      </c>
      <c r="N60" t="s">
        <v>2537</v>
      </c>
      <c r="O60" t="s">
        <v>1909</v>
      </c>
      <c r="Q60">
        <v>1</v>
      </c>
      <c r="R60">
        <v>3</v>
      </c>
    </row>
    <row r="61" spans="3:18" x14ac:dyDescent="0.25">
      <c r="D61" t="s">
        <v>3980</v>
      </c>
      <c r="I61">
        <f>14/2</f>
        <v>7</v>
      </c>
      <c r="M61">
        <v>1</v>
      </c>
      <c r="N61">
        <f>M61*4</f>
        <v>4</v>
      </c>
      <c r="O61">
        <f t="shared" ref="O61:O70" si="0">N61*-1+6</f>
        <v>2</v>
      </c>
      <c r="Q61">
        <v>2</v>
      </c>
      <c r="R61">
        <v>4</v>
      </c>
    </row>
    <row r="62" spans="3:18" x14ac:dyDescent="0.25">
      <c r="D62" t="s">
        <v>3982</v>
      </c>
      <c r="J62">
        <f>56/7</f>
        <v>8</v>
      </c>
      <c r="M62">
        <v>2</v>
      </c>
      <c r="N62">
        <v>8</v>
      </c>
      <c r="O62">
        <f t="shared" si="0"/>
        <v>-2</v>
      </c>
      <c r="Q62">
        <v>3</v>
      </c>
      <c r="R62">
        <v>5</v>
      </c>
    </row>
    <row r="63" spans="3:18" x14ac:dyDescent="0.25">
      <c r="C63">
        <f>4*3.5*6*0.2</f>
        <v>16.8</v>
      </c>
      <c r="D63" t="s">
        <v>3973</v>
      </c>
      <c r="M63">
        <v>3</v>
      </c>
      <c r="N63">
        <v>12</v>
      </c>
      <c r="O63">
        <f t="shared" si="0"/>
        <v>-6</v>
      </c>
      <c r="Q63">
        <v>4</v>
      </c>
      <c r="R63">
        <v>6</v>
      </c>
    </row>
    <row r="64" spans="3:18" x14ac:dyDescent="0.25">
      <c r="D64" t="s">
        <v>3974</v>
      </c>
      <c r="M64">
        <v>4</v>
      </c>
      <c r="N64">
        <v>16</v>
      </c>
      <c r="O64">
        <f t="shared" si="0"/>
        <v>-10</v>
      </c>
      <c r="Q64">
        <v>5</v>
      </c>
      <c r="R64">
        <v>7</v>
      </c>
    </row>
    <row r="65" spans="2:18" x14ac:dyDescent="0.25">
      <c r="D65" t="s">
        <v>3975</v>
      </c>
      <c r="M65">
        <v>5</v>
      </c>
      <c r="N65">
        <v>20</v>
      </c>
      <c r="O65">
        <f t="shared" si="0"/>
        <v>-14</v>
      </c>
      <c r="Q65">
        <v>6</v>
      </c>
      <c r="R65">
        <v>8</v>
      </c>
    </row>
    <row r="66" spans="2:18" x14ac:dyDescent="0.25">
      <c r="D66" t="s">
        <v>3976</v>
      </c>
      <c r="M66">
        <v>6</v>
      </c>
      <c r="N66">
        <v>24</v>
      </c>
      <c r="O66">
        <f t="shared" si="0"/>
        <v>-18</v>
      </c>
      <c r="Q66">
        <v>7</v>
      </c>
      <c r="R66">
        <v>9</v>
      </c>
    </row>
    <row r="67" spans="2:18" x14ac:dyDescent="0.25">
      <c r="D67" t="s">
        <v>3978</v>
      </c>
      <c r="M67">
        <v>7</v>
      </c>
      <c r="N67">
        <v>28</v>
      </c>
      <c r="O67">
        <f t="shared" si="0"/>
        <v>-22</v>
      </c>
      <c r="Q67">
        <v>8</v>
      </c>
      <c r="R67">
        <v>10</v>
      </c>
    </row>
    <row r="68" spans="2:18" x14ac:dyDescent="0.25">
      <c r="D68" t="s">
        <v>3979</v>
      </c>
      <c r="M68">
        <v>8</v>
      </c>
      <c r="N68">
        <v>32</v>
      </c>
      <c r="O68">
        <f t="shared" si="0"/>
        <v>-26</v>
      </c>
      <c r="Q68">
        <v>9</v>
      </c>
      <c r="R68">
        <v>10</v>
      </c>
    </row>
    <row r="69" spans="2:18" x14ac:dyDescent="0.25">
      <c r="D69" t="s">
        <v>3981</v>
      </c>
      <c r="M69">
        <v>9</v>
      </c>
      <c r="N69">
        <v>36</v>
      </c>
      <c r="O69">
        <f t="shared" si="0"/>
        <v>-30</v>
      </c>
      <c r="Q69">
        <v>10</v>
      </c>
      <c r="R69">
        <v>10</v>
      </c>
    </row>
    <row r="70" spans="2:18" x14ac:dyDescent="0.25">
      <c r="D70" t="s">
        <v>1058</v>
      </c>
      <c r="J70" t="s">
        <v>3984</v>
      </c>
      <c r="M70">
        <v>10</v>
      </c>
      <c r="N70">
        <v>40</v>
      </c>
      <c r="O70">
        <f t="shared" si="0"/>
        <v>-34</v>
      </c>
      <c r="Q70">
        <f>AVERAGE(Q60:Q69)</f>
        <v>5.5</v>
      </c>
      <c r="R70">
        <f>AVERAGE(R60:R69)</f>
        <v>7.2</v>
      </c>
    </row>
    <row r="71" spans="2:18" x14ac:dyDescent="0.25">
      <c r="D71" t="s">
        <v>3983</v>
      </c>
      <c r="J71" t="s">
        <v>1292</v>
      </c>
      <c r="Q71">
        <f>R70*2*5</f>
        <v>72</v>
      </c>
    </row>
    <row r="72" spans="2:18" x14ac:dyDescent="0.25">
      <c r="B72">
        <f>0-6-3-1</f>
        <v>-10</v>
      </c>
      <c r="L72">
        <f>5*(5.5+5.5)+14</f>
        <v>69</v>
      </c>
    </row>
    <row r="73" spans="2:18" x14ac:dyDescent="0.25">
      <c r="B73">
        <v>-1</v>
      </c>
      <c r="J73" t="s">
        <v>1238</v>
      </c>
      <c r="Q73">
        <f>0.25*4*0.75*(5+9)</f>
        <v>10.5</v>
      </c>
    </row>
    <row r="74" spans="2:18" x14ac:dyDescent="0.25">
      <c r="B74">
        <v>-2</v>
      </c>
      <c r="J74" t="s">
        <v>1238</v>
      </c>
    </row>
    <row r="75" spans="2:18" x14ac:dyDescent="0.25">
      <c r="B75">
        <v>-2</v>
      </c>
      <c r="H75">
        <f>(14)*3+(3.5*3+5)*3</f>
        <v>88.5</v>
      </c>
      <c r="J75" t="s">
        <v>1238</v>
      </c>
    </row>
    <row r="76" spans="2:18" x14ac:dyDescent="0.25">
      <c r="B76">
        <v>-3</v>
      </c>
      <c r="H76">
        <f>H75*0.5</f>
        <v>44.25</v>
      </c>
      <c r="K76">
        <f>4.5+3+5+3+3</f>
        <v>18.5</v>
      </c>
    </row>
    <row r="77" spans="2:18" x14ac:dyDescent="0.25">
      <c r="B77">
        <f>SUM(B72:B76)</f>
        <v>-18</v>
      </c>
      <c r="D77">
        <f>13.5*4</f>
        <v>54</v>
      </c>
      <c r="E77">
        <f>0.7^6</f>
        <v>0.11764899999999995</v>
      </c>
      <c r="K77">
        <f>K76*0.75</f>
        <v>13.875</v>
      </c>
    </row>
    <row r="78" spans="2:18" x14ac:dyDescent="0.25">
      <c r="H78">
        <f>11-4-4-1-1-1</f>
        <v>0</v>
      </c>
      <c r="K78">
        <f>K77*0.5</f>
        <v>6.9375</v>
      </c>
    </row>
    <row r="79" spans="2:18" x14ac:dyDescent="0.25">
      <c r="K79">
        <f>K78*10</f>
        <v>69.375</v>
      </c>
      <c r="M79" t="s">
        <v>1273</v>
      </c>
      <c r="N79" t="s">
        <v>837</v>
      </c>
      <c r="O79" t="s">
        <v>3986</v>
      </c>
      <c r="R79">
        <f>1400*5+5000*3</f>
        <v>22000</v>
      </c>
    </row>
    <row r="80" spans="2:18" x14ac:dyDescent="0.25">
      <c r="H80">
        <f>(8+12)*4</f>
        <v>80</v>
      </c>
      <c r="M80">
        <f>3.5*5</f>
        <v>17.5</v>
      </c>
      <c r="N80">
        <f>5*4</f>
        <v>20</v>
      </c>
      <c r="R80">
        <f>4000*5</f>
        <v>20000</v>
      </c>
    </row>
    <row r="81" spans="2:18" x14ac:dyDescent="0.25">
      <c r="H81">
        <f>H80*0.4*0.75</f>
        <v>24</v>
      </c>
      <c r="L81" t="s">
        <v>3985</v>
      </c>
      <c r="M81">
        <v>5</v>
      </c>
      <c r="N81">
        <v>5</v>
      </c>
      <c r="P81">
        <f>O86+H76</f>
        <v>359.25</v>
      </c>
      <c r="R81">
        <f>42000/6</f>
        <v>7000</v>
      </c>
    </row>
    <row r="82" spans="2:18" x14ac:dyDescent="0.25">
      <c r="C82" t="s">
        <v>3988</v>
      </c>
      <c r="F82" t="s">
        <v>3989</v>
      </c>
      <c r="I82" t="s">
        <v>3991</v>
      </c>
      <c r="M82">
        <f>M80*M81</f>
        <v>87.5</v>
      </c>
      <c r="N82">
        <f>N80*N81</f>
        <v>100</v>
      </c>
      <c r="O82">
        <f>SUM(M82:N82)</f>
        <v>187.5</v>
      </c>
    </row>
    <row r="83" spans="2:18" x14ac:dyDescent="0.25">
      <c r="C83" t="s">
        <v>2918</v>
      </c>
      <c r="F83" t="s">
        <v>3993</v>
      </c>
      <c r="I83" t="s">
        <v>2404</v>
      </c>
      <c r="L83" t="s">
        <v>3987</v>
      </c>
      <c r="O83">
        <v>2</v>
      </c>
    </row>
    <row r="84" spans="2:18" x14ac:dyDescent="0.25">
      <c r="C84" t="s">
        <v>2321</v>
      </c>
      <c r="F84" t="s">
        <v>3990</v>
      </c>
      <c r="I84" t="s">
        <v>2415</v>
      </c>
      <c r="L84" t="s">
        <v>231</v>
      </c>
      <c r="N84">
        <f>21*4</f>
        <v>84</v>
      </c>
      <c r="O84">
        <f>O82*O83</f>
        <v>375</v>
      </c>
      <c r="R84">
        <f>975*10/6+900/6</f>
        <v>1775</v>
      </c>
    </row>
    <row r="85" spans="2:18" x14ac:dyDescent="0.25">
      <c r="C85" t="s">
        <v>3107</v>
      </c>
      <c r="F85" t="s">
        <v>1228</v>
      </c>
      <c r="I85" t="s">
        <v>2348</v>
      </c>
      <c r="L85" t="s">
        <v>495</v>
      </c>
      <c r="N85">
        <f>0.01*(100-N84)</f>
        <v>0.16</v>
      </c>
      <c r="O85">
        <f>N85</f>
        <v>0.16</v>
      </c>
    </row>
    <row r="86" spans="2:18" x14ac:dyDescent="0.25">
      <c r="B86" t="s">
        <v>1400</v>
      </c>
      <c r="C86" t="s">
        <v>2416</v>
      </c>
      <c r="F86" t="s">
        <v>2029</v>
      </c>
      <c r="O86">
        <f>O84*(1-O85)</f>
        <v>315</v>
      </c>
      <c r="Q86">
        <f>10-4-4</f>
        <v>2</v>
      </c>
    </row>
    <row r="87" spans="2:18" x14ac:dyDescent="0.25">
      <c r="C87" t="s">
        <v>1341</v>
      </c>
      <c r="F87" t="s">
        <v>3106</v>
      </c>
    </row>
    <row r="88" spans="2:18" x14ac:dyDescent="0.25">
      <c r="C88" t="s">
        <v>1055</v>
      </c>
      <c r="F88" t="s">
        <v>3992</v>
      </c>
      <c r="K88" t="s">
        <v>627</v>
      </c>
      <c r="M88" t="s">
        <v>3994</v>
      </c>
      <c r="O88" t="s">
        <v>3995</v>
      </c>
    </row>
    <row r="89" spans="2:18" x14ac:dyDescent="0.25">
      <c r="C89" t="s">
        <v>866</v>
      </c>
      <c r="F89" t="s">
        <v>2323</v>
      </c>
      <c r="J89">
        <v>1</v>
      </c>
      <c r="K89" t="s">
        <v>2918</v>
      </c>
      <c r="M89" t="s">
        <v>2918</v>
      </c>
      <c r="O89" t="s">
        <v>1228</v>
      </c>
    </row>
    <row r="90" spans="2:18" x14ac:dyDescent="0.25">
      <c r="C90" t="s">
        <v>681</v>
      </c>
      <c r="F90" t="s">
        <v>2750</v>
      </c>
      <c r="J90">
        <v>1</v>
      </c>
      <c r="K90" t="s">
        <v>3993</v>
      </c>
      <c r="M90" t="s">
        <v>1228</v>
      </c>
      <c r="O90" t="s">
        <v>3990</v>
      </c>
    </row>
    <row r="91" spans="2:18" x14ac:dyDescent="0.25">
      <c r="F91" t="s">
        <v>3998</v>
      </c>
      <c r="J91">
        <v>3</v>
      </c>
      <c r="K91" t="s">
        <v>2415</v>
      </c>
      <c r="M91" t="s">
        <v>2415</v>
      </c>
      <c r="O91" t="s">
        <v>2918</v>
      </c>
    </row>
    <row r="92" spans="2:18" x14ac:dyDescent="0.25">
      <c r="C92">
        <f>6*4</f>
        <v>24</v>
      </c>
      <c r="D92">
        <f>1-4-2</f>
        <v>-5</v>
      </c>
      <c r="F92" t="s">
        <v>2353</v>
      </c>
      <c r="J92">
        <v>5</v>
      </c>
      <c r="K92" t="s">
        <v>2321</v>
      </c>
      <c r="M92" t="s">
        <v>2321</v>
      </c>
      <c r="O92" t="s">
        <v>2321</v>
      </c>
    </row>
    <row r="93" spans="2:18" x14ac:dyDescent="0.25">
      <c r="C93">
        <v>5</v>
      </c>
      <c r="F93" t="s">
        <v>2414</v>
      </c>
      <c r="J93">
        <v>7</v>
      </c>
      <c r="K93" t="s">
        <v>1345</v>
      </c>
      <c r="M93" t="s">
        <v>2457</v>
      </c>
      <c r="O93" t="s">
        <v>2454</v>
      </c>
    </row>
    <row r="94" spans="2:18" x14ac:dyDescent="0.25">
      <c r="C94">
        <f>C92*C93</f>
        <v>120</v>
      </c>
      <c r="D94">
        <f>11-4-4-2</f>
        <v>1</v>
      </c>
    </row>
    <row r="95" spans="2:18" x14ac:dyDescent="0.25">
      <c r="C95">
        <f>C94*9</f>
        <v>1080</v>
      </c>
      <c r="J95">
        <v>4</v>
      </c>
      <c r="K95" t="s">
        <v>2416</v>
      </c>
      <c r="M95" t="s">
        <v>3106</v>
      </c>
      <c r="O95" t="s">
        <v>2416</v>
      </c>
    </row>
    <row r="96" spans="2:18" x14ac:dyDescent="0.25">
      <c r="J96">
        <v>5</v>
      </c>
      <c r="K96" t="s">
        <v>3107</v>
      </c>
      <c r="M96" t="s">
        <v>2416</v>
      </c>
      <c r="O96" t="s">
        <v>3107</v>
      </c>
    </row>
    <row r="97" spans="3:15" x14ac:dyDescent="0.25">
      <c r="E97">
        <f>5+9</f>
        <v>14</v>
      </c>
      <c r="J97">
        <v>7</v>
      </c>
      <c r="K97" t="s">
        <v>1054</v>
      </c>
      <c r="M97" t="s">
        <v>3107</v>
      </c>
      <c r="O97" t="s">
        <v>2461</v>
      </c>
    </row>
    <row r="98" spans="3:15" x14ac:dyDescent="0.25">
      <c r="E98">
        <f>15*0.35*0.75*4</f>
        <v>15.75</v>
      </c>
      <c r="G98">
        <f>0.6^6</f>
        <v>4.6655999999999996E-2</v>
      </c>
      <c r="J98">
        <v>9</v>
      </c>
      <c r="K98" t="s">
        <v>1945</v>
      </c>
      <c r="O98" t="s">
        <v>1054</v>
      </c>
    </row>
    <row r="99" spans="3:15" x14ac:dyDescent="0.25">
      <c r="C99">
        <f>-1-6-3-1-1-2-2-2</f>
        <v>-18</v>
      </c>
      <c r="G99">
        <f>15*7+6*3+8</f>
        <v>131</v>
      </c>
      <c r="J99">
        <v>11</v>
      </c>
      <c r="M99" t="s">
        <v>2323</v>
      </c>
      <c r="O99" t="s">
        <v>3106</v>
      </c>
    </row>
    <row r="101" spans="3:15" x14ac:dyDescent="0.25">
      <c r="J101">
        <v>6</v>
      </c>
      <c r="K101" t="s">
        <v>3992</v>
      </c>
      <c r="M101" t="s">
        <v>2750</v>
      </c>
      <c r="O101" t="s">
        <v>2326</v>
      </c>
    </row>
    <row r="102" spans="3:15" x14ac:dyDescent="0.25">
      <c r="J102">
        <v>7</v>
      </c>
      <c r="K102" t="s">
        <v>2353</v>
      </c>
      <c r="M102" t="s">
        <v>2326</v>
      </c>
      <c r="O102" t="s">
        <v>2414</v>
      </c>
    </row>
    <row r="103" spans="3:15" x14ac:dyDescent="0.25">
      <c r="J103">
        <v>9</v>
      </c>
      <c r="K103" t="s">
        <v>4000</v>
      </c>
      <c r="M103" t="s">
        <v>3999</v>
      </c>
      <c r="O103" t="s">
        <v>1340</v>
      </c>
    </row>
    <row r="104" spans="3:15" x14ac:dyDescent="0.25">
      <c r="J104">
        <v>11</v>
      </c>
      <c r="K104" t="s">
        <v>4002</v>
      </c>
    </row>
    <row r="105" spans="3:15" x14ac:dyDescent="0.25">
      <c r="J105">
        <v>22</v>
      </c>
    </row>
    <row r="107" spans="3:15" x14ac:dyDescent="0.25">
      <c r="C107">
        <v>6</v>
      </c>
      <c r="D107">
        <v>5</v>
      </c>
      <c r="E107">
        <v>4</v>
      </c>
      <c r="F107">
        <v>3</v>
      </c>
      <c r="G107">
        <v>2</v>
      </c>
      <c r="H107">
        <v>1</v>
      </c>
      <c r="J107">
        <v>8</v>
      </c>
      <c r="K107" t="s">
        <v>1341</v>
      </c>
      <c r="M107" t="s">
        <v>1341</v>
      </c>
      <c r="O107" t="s">
        <v>1341</v>
      </c>
    </row>
    <row r="108" spans="3:15" x14ac:dyDescent="0.25">
      <c r="C108">
        <f t="shared" ref="C108:H108" si="1">3000000*C107</f>
        <v>18000000</v>
      </c>
      <c r="D108">
        <f t="shared" si="1"/>
        <v>15000000</v>
      </c>
      <c r="E108">
        <f t="shared" si="1"/>
        <v>12000000</v>
      </c>
      <c r="F108">
        <f t="shared" si="1"/>
        <v>9000000</v>
      </c>
      <c r="G108">
        <f t="shared" si="1"/>
        <v>6000000</v>
      </c>
      <c r="H108">
        <f t="shared" si="1"/>
        <v>3000000</v>
      </c>
      <c r="J108">
        <v>9</v>
      </c>
      <c r="K108" t="s">
        <v>2356</v>
      </c>
      <c r="M108" t="s">
        <v>1355</v>
      </c>
      <c r="O108" t="s">
        <v>1948</v>
      </c>
    </row>
    <row r="109" spans="3:15" x14ac:dyDescent="0.25">
      <c r="C109">
        <f t="shared" ref="C109:H109" si="2">C108/6</f>
        <v>3000000</v>
      </c>
      <c r="D109">
        <f t="shared" si="2"/>
        <v>2500000</v>
      </c>
      <c r="E109">
        <f t="shared" si="2"/>
        <v>2000000</v>
      </c>
      <c r="F109">
        <f t="shared" si="2"/>
        <v>1500000</v>
      </c>
      <c r="G109">
        <f t="shared" si="2"/>
        <v>1000000</v>
      </c>
      <c r="H109">
        <f t="shared" si="2"/>
        <v>500000</v>
      </c>
      <c r="J109">
        <v>11</v>
      </c>
      <c r="K109" t="s">
        <v>2923</v>
      </c>
      <c r="M109" t="s">
        <v>4001</v>
      </c>
      <c r="O109" t="s">
        <v>2356</v>
      </c>
    </row>
    <row r="110" spans="3:15" x14ac:dyDescent="0.25">
      <c r="J110">
        <v>13</v>
      </c>
      <c r="M110" t="s">
        <v>3997</v>
      </c>
      <c r="O110" t="s">
        <v>4003</v>
      </c>
    </row>
    <row r="111" spans="3:15" x14ac:dyDescent="0.25">
      <c r="J111">
        <v>23</v>
      </c>
    </row>
    <row r="112" spans="3:15" x14ac:dyDescent="0.25">
      <c r="C112" s="9"/>
      <c r="D112" s="9"/>
      <c r="H112" s="9"/>
      <c r="I112" s="9"/>
    </row>
    <row r="113" spans="3:15" x14ac:dyDescent="0.25">
      <c r="C113" s="9"/>
      <c r="D113" s="9"/>
      <c r="H113" s="9"/>
      <c r="I113" s="9"/>
      <c r="J113">
        <v>10</v>
      </c>
      <c r="K113" t="s">
        <v>1055</v>
      </c>
      <c r="M113" t="s">
        <v>1055</v>
      </c>
      <c r="O113" t="s">
        <v>1055</v>
      </c>
    </row>
    <row r="114" spans="3:15" x14ac:dyDescent="0.25">
      <c r="C114" s="9"/>
      <c r="D114" s="9"/>
      <c r="H114" s="9"/>
      <c r="I114" s="9"/>
      <c r="J114">
        <v>11</v>
      </c>
      <c r="K114" t="s">
        <v>2404</v>
      </c>
      <c r="M114" t="s">
        <v>2404</v>
      </c>
      <c r="O114" t="s">
        <v>2404</v>
      </c>
    </row>
    <row r="115" spans="3:15" x14ac:dyDescent="0.25">
      <c r="C115" s="9" t="s">
        <v>2397</v>
      </c>
      <c r="D115" s="9" t="s">
        <v>4012</v>
      </c>
      <c r="E115" t="s">
        <v>930</v>
      </c>
      <c r="H115" s="9"/>
      <c r="I115" s="9"/>
      <c r="J115" s="9">
        <v>13</v>
      </c>
      <c r="K115" t="s">
        <v>1342</v>
      </c>
      <c r="M115" t="s">
        <v>4004</v>
      </c>
      <c r="O115" t="s">
        <v>2329</v>
      </c>
    </row>
    <row r="116" spans="3:15" x14ac:dyDescent="0.25">
      <c r="C116" s="9">
        <f>5*3.5*0.5</f>
        <v>8.75</v>
      </c>
      <c r="D116">
        <v>183</v>
      </c>
      <c r="F116" s="9"/>
      <c r="G116" s="9"/>
      <c r="J116" s="9">
        <v>15</v>
      </c>
      <c r="K116" t="s">
        <v>3101</v>
      </c>
      <c r="M116" t="s">
        <v>3101</v>
      </c>
      <c r="O116" t="s">
        <v>3101</v>
      </c>
    </row>
    <row r="117" spans="3:15" x14ac:dyDescent="0.25">
      <c r="D117">
        <f>6*3.5*3*0.5</f>
        <v>31.5</v>
      </c>
      <c r="E117">
        <f>5*3.5</f>
        <v>17.5</v>
      </c>
      <c r="J117" s="9"/>
    </row>
    <row r="118" spans="3:15" x14ac:dyDescent="0.25">
      <c r="E118">
        <f>E117*3*3</f>
        <v>157.5</v>
      </c>
      <c r="J118" s="9">
        <v>12</v>
      </c>
      <c r="K118" t="s">
        <v>681</v>
      </c>
      <c r="M118" t="s">
        <v>681</v>
      </c>
      <c r="O118" t="s">
        <v>681</v>
      </c>
    </row>
    <row r="119" spans="3:15" x14ac:dyDescent="0.25">
      <c r="J119" s="9">
        <v>13</v>
      </c>
      <c r="K119" s="9" t="s">
        <v>3996</v>
      </c>
      <c r="L119" s="9"/>
      <c r="M119" t="s">
        <v>3998</v>
      </c>
      <c r="N119" s="9"/>
      <c r="O119" s="9" t="s">
        <v>305</v>
      </c>
    </row>
    <row r="120" spans="3:15" x14ac:dyDescent="0.25">
      <c r="J120" s="9">
        <v>15</v>
      </c>
      <c r="K120" s="9"/>
      <c r="L120" s="9"/>
      <c r="M120" s="9"/>
      <c r="N120" s="9"/>
    </row>
    <row r="121" spans="3:15" x14ac:dyDescent="0.25">
      <c r="J121" s="9">
        <v>21</v>
      </c>
    </row>
    <row r="123" spans="3:15" x14ac:dyDescent="0.25">
      <c r="G123">
        <f>14*4.5</f>
        <v>63</v>
      </c>
      <c r="J123" s="9">
        <v>14</v>
      </c>
      <c r="K123" t="s">
        <v>2348</v>
      </c>
      <c r="M123" t="s">
        <v>2348</v>
      </c>
      <c r="O123" t="s">
        <v>2348</v>
      </c>
    </row>
    <row r="124" spans="3:15" x14ac:dyDescent="0.25">
      <c r="G124">
        <f>G123*0.35</f>
        <v>22.049999999999997</v>
      </c>
      <c r="H124">
        <f>1-6-2</f>
        <v>-7</v>
      </c>
      <c r="J124" s="9">
        <v>15</v>
      </c>
      <c r="K124" t="s">
        <v>4010</v>
      </c>
      <c r="M124" t="s">
        <v>1057</v>
      </c>
      <c r="O124" t="s">
        <v>1057</v>
      </c>
    </row>
    <row r="125" spans="3:15" x14ac:dyDescent="0.25">
      <c r="D125">
        <f>1-7-4-1-1</f>
        <v>-12</v>
      </c>
      <c r="G125">
        <f>1000/G124</f>
        <v>45.3514739229025</v>
      </c>
      <c r="J125" s="9">
        <v>17</v>
      </c>
    </row>
    <row r="126" spans="3:15" x14ac:dyDescent="0.25">
      <c r="J126" s="9">
        <v>22</v>
      </c>
    </row>
    <row r="127" spans="3:15" x14ac:dyDescent="0.25">
      <c r="E127">
        <f>0.5*2*3*(8+14+1)</f>
        <v>69</v>
      </c>
    </row>
    <row r="128" spans="3:15" x14ac:dyDescent="0.25">
      <c r="E128">
        <f>E127-5*6</f>
        <v>39</v>
      </c>
      <c r="G128">
        <f>10*5.5*0.5</f>
        <v>27.5</v>
      </c>
      <c r="J128" s="9">
        <v>16</v>
      </c>
      <c r="K128" t="s">
        <v>4011</v>
      </c>
      <c r="M128" t="s">
        <v>864</v>
      </c>
      <c r="O128" t="s">
        <v>2466</v>
      </c>
    </row>
    <row r="129" spans="3:16" x14ac:dyDescent="0.25">
      <c r="E129">
        <f>1000/E128</f>
        <v>25.641025641025642</v>
      </c>
      <c r="J129" s="9">
        <v>17</v>
      </c>
      <c r="K129" t="s">
        <v>2466</v>
      </c>
      <c r="M129" t="s">
        <v>2466</v>
      </c>
      <c r="O129" t="s">
        <v>4011</v>
      </c>
    </row>
    <row r="130" spans="3:16" x14ac:dyDescent="0.25">
      <c r="J130" s="9">
        <v>19</v>
      </c>
    </row>
    <row r="131" spans="3:16" x14ac:dyDescent="0.25">
      <c r="J131" s="9">
        <v>23</v>
      </c>
    </row>
    <row r="133" spans="3:16" x14ac:dyDescent="0.25">
      <c r="J133" s="9">
        <v>18</v>
      </c>
      <c r="K133" t="s">
        <v>866</v>
      </c>
      <c r="M133" t="s">
        <v>866</v>
      </c>
      <c r="O133" t="s">
        <v>866</v>
      </c>
    </row>
    <row r="134" spans="3:16" x14ac:dyDescent="0.25">
      <c r="J134" s="9">
        <v>19</v>
      </c>
      <c r="K134" t="s">
        <v>4008</v>
      </c>
      <c r="M134" t="s">
        <v>4005</v>
      </c>
      <c r="O134" t="s">
        <v>4007</v>
      </c>
    </row>
    <row r="135" spans="3:16" x14ac:dyDescent="0.25">
      <c r="J135" s="9">
        <v>20</v>
      </c>
      <c r="K135" t="s">
        <v>4009</v>
      </c>
      <c r="M135" t="s">
        <v>4006</v>
      </c>
      <c r="O135" t="s">
        <v>4005</v>
      </c>
    </row>
    <row r="136" spans="3:16" x14ac:dyDescent="0.25">
      <c r="J136" s="9">
        <v>25</v>
      </c>
    </row>
    <row r="139" spans="3:16" x14ac:dyDescent="0.25">
      <c r="E139">
        <f>3*2*(8+14+1)</f>
        <v>138</v>
      </c>
    </row>
    <row r="141" spans="3:16" x14ac:dyDescent="0.25">
      <c r="F141">
        <f>1-6-2-2</f>
        <v>-9</v>
      </c>
    </row>
    <row r="142" spans="3:16" x14ac:dyDescent="0.25">
      <c r="H142">
        <f>6*6</f>
        <v>36</v>
      </c>
      <c r="M142" t="s">
        <v>2413</v>
      </c>
    </row>
    <row r="143" spans="3:16" x14ac:dyDescent="0.25">
      <c r="C143">
        <v>10</v>
      </c>
      <c r="H143">
        <f>10*(2+3+3+36)</f>
        <v>440</v>
      </c>
      <c r="I143">
        <f>9*(2.5+5+5.5+36)</f>
        <v>441</v>
      </c>
      <c r="K143">
        <f>(1.5+0.5+0.5+0.5)*(3.5+3+3+5+0.5+1)</f>
        <v>48</v>
      </c>
      <c r="M143" t="s">
        <v>1301</v>
      </c>
    </row>
    <row r="144" spans="3:16" x14ac:dyDescent="0.25">
      <c r="C144">
        <f>5*9*0.5*(2.5+5)</f>
        <v>168.75</v>
      </c>
      <c r="I144">
        <f>14447/3</f>
        <v>4815.666666666667</v>
      </c>
      <c r="M144" t="s">
        <v>1238</v>
      </c>
      <c r="P144">
        <f>6*3.5*3</f>
        <v>63</v>
      </c>
    </row>
    <row r="145" spans="3:16" x14ac:dyDescent="0.25">
      <c r="F145">
        <f>63465*3+17*4000</f>
        <v>258395</v>
      </c>
      <c r="I145">
        <f>14447*3</f>
        <v>43341</v>
      </c>
      <c r="M145" t="s">
        <v>1238</v>
      </c>
    </row>
    <row r="146" spans="3:16" x14ac:dyDescent="0.25">
      <c r="I146">
        <f>I145+15*4000+19*4000</f>
        <v>179341</v>
      </c>
      <c r="J146">
        <f>450/30</f>
        <v>15</v>
      </c>
    </row>
    <row r="147" spans="3:16" x14ac:dyDescent="0.25">
      <c r="J147">
        <f>580/40</f>
        <v>14.5</v>
      </c>
    </row>
    <row r="148" spans="3:16" x14ac:dyDescent="0.25">
      <c r="E148">
        <f>9*(2.5+5+5.5)</f>
        <v>117</v>
      </c>
      <c r="O148">
        <f>(1+1+1+1+1)*(4.5+3+2+1+0.5+9)</f>
        <v>100</v>
      </c>
      <c r="P148">
        <f>5*(4.5+5+12+0.5+1+1+2.5+2)</f>
        <v>142.5</v>
      </c>
    </row>
    <row r="149" spans="3:16" x14ac:dyDescent="0.25">
      <c r="G149">
        <f>9*6*2</f>
        <v>108</v>
      </c>
    </row>
    <row r="150" spans="3:16" x14ac:dyDescent="0.25">
      <c r="C150">
        <f>0.15*0.65</f>
        <v>9.7500000000000003E-2</v>
      </c>
    </row>
    <row r="151" spans="3:16" x14ac:dyDescent="0.25">
      <c r="C151">
        <f>1-C150</f>
        <v>0.90249999999999997</v>
      </c>
      <c r="K151">
        <v>0</v>
      </c>
      <c r="L151">
        <v>1</v>
      </c>
      <c r="M151">
        <v>2</v>
      </c>
      <c r="N151">
        <v>3</v>
      </c>
    </row>
    <row r="153" spans="3:16" x14ac:dyDescent="0.25">
      <c r="J153">
        <f>12*3.5+6</f>
        <v>48</v>
      </c>
      <c r="K153">
        <v>1</v>
      </c>
      <c r="L153">
        <v>1</v>
      </c>
      <c r="M153">
        <v>1</v>
      </c>
      <c r="N153">
        <v>1</v>
      </c>
    </row>
    <row r="154" spans="3:16" x14ac:dyDescent="0.25">
      <c r="G154">
        <f>5*(3+3+2+1)</f>
        <v>45</v>
      </c>
      <c r="K154">
        <v>2</v>
      </c>
      <c r="L154">
        <v>1</v>
      </c>
      <c r="M154">
        <v>1</v>
      </c>
      <c r="N154">
        <v>1</v>
      </c>
    </row>
    <row r="155" spans="3:16" x14ac:dyDescent="0.25">
      <c r="K155">
        <v>3</v>
      </c>
      <c r="L155">
        <v>2</v>
      </c>
      <c r="M155">
        <v>1</v>
      </c>
      <c r="N155">
        <v>1</v>
      </c>
    </row>
    <row r="156" spans="3:16" x14ac:dyDescent="0.25">
      <c r="K156">
        <v>4</v>
      </c>
      <c r="L156">
        <v>3</v>
      </c>
      <c r="M156">
        <v>2</v>
      </c>
      <c r="N156">
        <v>1</v>
      </c>
    </row>
    <row r="157" spans="3:16" x14ac:dyDescent="0.25">
      <c r="G157">
        <f>5*(3+5+3+2)</f>
        <v>65</v>
      </c>
      <c r="K157">
        <v>5</v>
      </c>
      <c r="L157">
        <v>4</v>
      </c>
      <c r="M157">
        <v>3</v>
      </c>
      <c r="N157">
        <v>2</v>
      </c>
    </row>
    <row r="158" spans="3:16" x14ac:dyDescent="0.25">
      <c r="K158">
        <v>6</v>
      </c>
      <c r="L158">
        <v>5</v>
      </c>
      <c r="M158">
        <v>4</v>
      </c>
      <c r="N158">
        <v>3</v>
      </c>
    </row>
    <row r="159" spans="3:16" x14ac:dyDescent="0.25">
      <c r="K159">
        <f>AVERAGE(K153:K158)</f>
        <v>3.5</v>
      </c>
      <c r="L159">
        <f>AVERAGE(L153:L158)</f>
        <v>2.6666666666666665</v>
      </c>
      <c r="M159">
        <f>AVERAGE(M153:M158)</f>
        <v>2</v>
      </c>
      <c r="N159">
        <f>AVERAGE(N153:N158)</f>
        <v>1.5</v>
      </c>
    </row>
    <row r="160" spans="3:16" x14ac:dyDescent="0.25">
      <c r="K160">
        <f>K159*12+6</f>
        <v>48</v>
      </c>
      <c r="L160">
        <f>L159*12+6</f>
        <v>38</v>
      </c>
      <c r="M160">
        <f>M159*12+6</f>
        <v>30</v>
      </c>
      <c r="N160">
        <f>N159*12+6</f>
        <v>24</v>
      </c>
    </row>
    <row r="163" spans="5:15" x14ac:dyDescent="0.25">
      <c r="I163">
        <f>0.8^2</f>
        <v>0.64000000000000012</v>
      </c>
    </row>
    <row r="164" spans="5:15" x14ac:dyDescent="0.25">
      <c r="E164" t="s">
        <v>117</v>
      </c>
    </row>
    <row r="165" spans="5:15" x14ac:dyDescent="0.25">
      <c r="E165" t="s">
        <v>809</v>
      </c>
    </row>
    <row r="166" spans="5:15" x14ac:dyDescent="0.25">
      <c r="E166" t="s">
        <v>996</v>
      </c>
    </row>
    <row r="167" spans="5:15" x14ac:dyDescent="0.25">
      <c r="E167" t="s">
        <v>994</v>
      </c>
      <c r="L167">
        <f>11-7-3-4-1-1</f>
        <v>-5</v>
      </c>
    </row>
    <row r="168" spans="5:15" x14ac:dyDescent="0.25">
      <c r="E168" t="s">
        <v>993</v>
      </c>
      <c r="H168">
        <v>6</v>
      </c>
    </row>
    <row r="169" spans="5:15" x14ac:dyDescent="0.25">
      <c r="E169" t="s">
        <v>1085</v>
      </c>
      <c r="G169" t="s">
        <v>809</v>
      </c>
      <c r="H169">
        <v>-2</v>
      </c>
      <c r="L169">
        <f>0.75*(1+0.5+1+0.5)*(5.5+3+5+14+2)*0.75-18</f>
        <v>31.78125</v>
      </c>
      <c r="M169">
        <f>0.75*(1+0.5+0.5+1)*(4.5+2+2+14+2)*0.75-18</f>
        <v>23.34375</v>
      </c>
      <c r="O169">
        <f>4*(5.5+5+10)</f>
        <v>82</v>
      </c>
    </row>
    <row r="170" spans="5:15" x14ac:dyDescent="0.25">
      <c r="E170" t="s">
        <v>2362</v>
      </c>
      <c r="G170" t="s">
        <v>3248</v>
      </c>
      <c r="H170">
        <v>-2</v>
      </c>
      <c r="L170">
        <f>1000/L169</f>
        <v>31.465093411996065</v>
      </c>
      <c r="M170">
        <f>1000/M169</f>
        <v>42.838018741633199</v>
      </c>
    </row>
    <row r="171" spans="5:15" x14ac:dyDescent="0.25">
      <c r="G171" t="s">
        <v>1225</v>
      </c>
      <c r="H171">
        <v>-1</v>
      </c>
      <c r="L171">
        <f>15*250</f>
        <v>3750</v>
      </c>
    </row>
    <row r="172" spans="5:15" x14ac:dyDescent="0.25">
      <c r="G172" t="s">
        <v>4013</v>
      </c>
      <c r="H172">
        <v>-2</v>
      </c>
    </row>
    <row r="173" spans="5:15" x14ac:dyDescent="0.25">
      <c r="G173" t="s">
        <v>1146</v>
      </c>
      <c r="H173">
        <v>-2</v>
      </c>
    </row>
    <row r="174" spans="5:15" x14ac:dyDescent="0.25">
      <c r="G174" t="s">
        <v>4014</v>
      </c>
      <c r="H174">
        <v>-1</v>
      </c>
    </row>
    <row r="175" spans="5:15" x14ac:dyDescent="0.25">
      <c r="H175">
        <f>SUM(H168:H174)</f>
        <v>-4</v>
      </c>
      <c r="M175">
        <f>40*18</f>
        <v>720</v>
      </c>
      <c r="N175">
        <f>1100*0.15</f>
        <v>165</v>
      </c>
    </row>
    <row r="176" spans="5:15" x14ac:dyDescent="0.25">
      <c r="J176">
        <f>7^4</f>
        <v>2401</v>
      </c>
      <c r="N176">
        <f>M175/N175</f>
        <v>4.3636363636363633</v>
      </c>
    </row>
    <row r="177" spans="1:14" x14ac:dyDescent="0.25">
      <c r="F177">
        <f>172569*3</f>
        <v>517707</v>
      </c>
      <c r="N177">
        <f>N176*20</f>
        <v>87.272727272727266</v>
      </c>
    </row>
    <row r="181" spans="1:14" x14ac:dyDescent="0.25">
      <c r="B181">
        <v>40</v>
      </c>
      <c r="C181">
        <f>B181/B187</f>
        <v>4.2292239374074857E-3</v>
      </c>
    </row>
    <row r="182" spans="1:14" x14ac:dyDescent="0.25">
      <c r="B182">
        <v>6810</v>
      </c>
      <c r="C182">
        <f>B182/B187</f>
        <v>0.72002537534362443</v>
      </c>
      <c r="G182">
        <f>54/100</f>
        <v>0.54</v>
      </c>
    </row>
    <row r="183" spans="1:14" x14ac:dyDescent="0.25">
      <c r="B183">
        <v>2358</v>
      </c>
      <c r="C183">
        <f>B183/B187</f>
        <v>0.24931275111017129</v>
      </c>
      <c r="G183">
        <f>1/54</f>
        <v>1.8518518518518517E-2</v>
      </c>
      <c r="H183">
        <f>1/44</f>
        <v>2.2727272727272728E-2</v>
      </c>
    </row>
    <row r="184" spans="1:14" x14ac:dyDescent="0.25">
      <c r="B184">
        <v>14</v>
      </c>
      <c r="C184">
        <f>B184/B187</f>
        <v>1.48022837809262E-3</v>
      </c>
    </row>
    <row r="185" spans="1:14" x14ac:dyDescent="0.25">
      <c r="B185">
        <v>234</v>
      </c>
      <c r="C185">
        <f>B185/B187</f>
        <v>2.4740960033833793E-2</v>
      </c>
      <c r="D185" t="s">
        <v>4015</v>
      </c>
      <c r="E185">
        <v>0</v>
      </c>
      <c r="K185">
        <v>225000</v>
      </c>
    </row>
    <row r="186" spans="1:14" x14ac:dyDescent="0.25">
      <c r="B186">
        <v>2</v>
      </c>
      <c r="C186">
        <f>B186/B187</f>
        <v>2.1146119687037428E-4</v>
      </c>
      <c r="D186" t="s">
        <v>634</v>
      </c>
      <c r="E186">
        <v>-6</v>
      </c>
      <c r="K186">
        <f>19*5000</f>
        <v>95000</v>
      </c>
    </row>
    <row r="187" spans="1:14" x14ac:dyDescent="0.25">
      <c r="B187">
        <f>SUM(B181:B186)</f>
        <v>9458</v>
      </c>
      <c r="C187">
        <f>C181+C184+C185+C186</f>
        <v>3.0661873546204272E-2</v>
      </c>
      <c r="D187" t="s">
        <v>830</v>
      </c>
      <c r="E187">
        <v>-3</v>
      </c>
      <c r="K187">
        <f>K185+K186</f>
        <v>320000</v>
      </c>
    </row>
    <row r="188" spans="1:14" x14ac:dyDescent="0.25">
      <c r="D188" t="s">
        <v>1225</v>
      </c>
      <c r="E188">
        <v>-1</v>
      </c>
      <c r="L188">
        <f>54/44</f>
        <v>1.2272727272727273</v>
      </c>
      <c r="N188">
        <f>10-5-3</f>
        <v>2</v>
      </c>
    </row>
    <row r="189" spans="1:14" x14ac:dyDescent="0.25">
      <c r="B189">
        <v>60</v>
      </c>
      <c r="C189">
        <f>B189/B195</f>
        <v>4.8402710551790898E-3</v>
      </c>
      <c r="D189" t="s">
        <v>1661</v>
      </c>
      <c r="E189">
        <v>-1</v>
      </c>
      <c r="L189">
        <f>53/43</f>
        <v>1.2325581395348837</v>
      </c>
    </row>
    <row r="190" spans="1:14" x14ac:dyDescent="0.25">
      <c r="A190">
        <v>54</v>
      </c>
      <c r="B190">
        <v>7960</v>
      </c>
      <c r="C190">
        <f>B190/B195</f>
        <v>0.64214262665375932</v>
      </c>
      <c r="D190" t="s">
        <v>1512</v>
      </c>
      <c r="E190">
        <v>-2</v>
      </c>
      <c r="G190">
        <f>(1+0.5+0.5+2+1)*(4.5+3+2+12+2)</f>
        <v>117.5</v>
      </c>
      <c r="M190">
        <f>53/44</f>
        <v>1.2045454545454546</v>
      </c>
    </row>
    <row r="191" spans="1:14" x14ac:dyDescent="0.25">
      <c r="B191">
        <v>2666</v>
      </c>
      <c r="C191">
        <f>B191/B195</f>
        <v>0.21506937721845756</v>
      </c>
      <c r="D191" t="s">
        <v>1541</v>
      </c>
      <c r="E191">
        <v>-2</v>
      </c>
      <c r="G191">
        <f>G190*0.75</f>
        <v>88.125</v>
      </c>
      <c r="I191">
        <f>11-2-6-1-1-1</f>
        <v>0</v>
      </c>
      <c r="M191">
        <f>54/43</f>
        <v>1.2558139534883721</v>
      </c>
    </row>
    <row r="192" spans="1:14" x14ac:dyDescent="0.25">
      <c r="B192">
        <v>16</v>
      </c>
      <c r="C192">
        <f>B192/B195</f>
        <v>1.2907389480477573E-3</v>
      </c>
      <c r="D192" t="s">
        <v>1479</v>
      </c>
      <c r="E192">
        <v>-2</v>
      </c>
      <c r="G192">
        <f>G191*0.3</f>
        <v>26.4375</v>
      </c>
      <c r="I192">
        <f>-2+16</f>
        <v>14</v>
      </c>
      <c r="J192">
        <f>552*3+80</f>
        <v>1736</v>
      </c>
    </row>
    <row r="193" spans="1:13" x14ac:dyDescent="0.25">
      <c r="B193">
        <v>1673</v>
      </c>
      <c r="C193">
        <f>B193/B195</f>
        <v>0.13496289125524363</v>
      </c>
      <c r="G193">
        <f>1100/G192</f>
        <v>41.607565011820334</v>
      </c>
      <c r="J193">
        <f>2017-1948</f>
        <v>69</v>
      </c>
    </row>
    <row r="194" spans="1:13" x14ac:dyDescent="0.25">
      <c r="B194">
        <v>21</v>
      </c>
      <c r="C194">
        <f>B194/B195</f>
        <v>1.6940948693126815E-3</v>
      </c>
    </row>
    <row r="195" spans="1:13" x14ac:dyDescent="0.25">
      <c r="B195">
        <f>SUM(B189:B194)</f>
        <v>12396</v>
      </c>
    </row>
    <row r="196" spans="1:13" x14ac:dyDescent="0.25">
      <c r="E196">
        <f>SUM(E185:E195)</f>
        <v>-17</v>
      </c>
    </row>
    <row r="197" spans="1:13" x14ac:dyDescent="0.25">
      <c r="A197">
        <v>34</v>
      </c>
      <c r="E197">
        <v>0.35</v>
      </c>
      <c r="G197">
        <f>5.5+5+10</f>
        <v>20.5</v>
      </c>
      <c r="K197">
        <f>10-3-2-1-2</f>
        <v>2</v>
      </c>
    </row>
    <row r="198" spans="1:13" x14ac:dyDescent="0.25">
      <c r="A198">
        <v>19</v>
      </c>
      <c r="G198">
        <f>G197*4*0.35</f>
        <v>28.7</v>
      </c>
    </row>
    <row r="199" spans="1:13" x14ac:dyDescent="0.25">
      <c r="B199">
        <v>0</v>
      </c>
      <c r="C199">
        <f>B199/B205</f>
        <v>0</v>
      </c>
      <c r="M199">
        <f>3.5+3+2</f>
        <v>8.5</v>
      </c>
    </row>
    <row r="200" spans="1:13" x14ac:dyDescent="0.25">
      <c r="B200">
        <v>6810</v>
      </c>
      <c r="C200">
        <f>B200/B205</f>
        <v>0.72415993194385364</v>
      </c>
      <c r="D200">
        <f>C187/C205</f>
        <v>1.2217977069004449</v>
      </c>
      <c r="M200">
        <f>M199*0.75-2</f>
        <v>4.375</v>
      </c>
    </row>
    <row r="201" spans="1:13" x14ac:dyDescent="0.25">
      <c r="B201">
        <v>2358</v>
      </c>
      <c r="C201">
        <f>B201/B205</f>
        <v>0.25074436410038281</v>
      </c>
      <c r="M201">
        <f>M200*80</f>
        <v>350</v>
      </c>
    </row>
    <row r="202" spans="1:13" x14ac:dyDescent="0.25">
      <c r="B202">
        <v>0</v>
      </c>
      <c r="C202">
        <f>B202/B205</f>
        <v>0</v>
      </c>
    </row>
    <row r="203" spans="1:13" x14ac:dyDescent="0.25">
      <c r="B203">
        <v>234</v>
      </c>
      <c r="C203">
        <f>B203/B205</f>
        <v>2.4883028498511272E-2</v>
      </c>
    </row>
    <row r="204" spans="1:13" x14ac:dyDescent="0.25">
      <c r="B204">
        <v>2</v>
      </c>
      <c r="C204">
        <f>B204/B205</f>
        <v>2.126754572522331E-4</v>
      </c>
    </row>
    <row r="205" spans="1:13" x14ac:dyDescent="0.25">
      <c r="B205">
        <f>SUM(B199:B204)</f>
        <v>9404</v>
      </c>
      <c r="C205">
        <f>C199+C202+C203+C204</f>
        <v>2.5095703955763504E-2</v>
      </c>
    </row>
    <row r="208" spans="1:13" x14ac:dyDescent="0.25">
      <c r="C208" t="s">
        <v>1811</v>
      </c>
      <c r="D208" t="s">
        <v>3607</v>
      </c>
    </row>
    <row r="209" spans="1:15" x14ac:dyDescent="0.25">
      <c r="A209" t="s">
        <v>1520</v>
      </c>
      <c r="B209">
        <v>0</v>
      </c>
      <c r="C209">
        <v>34</v>
      </c>
      <c r="D209">
        <v>36</v>
      </c>
    </row>
    <row r="210" spans="1:15" x14ac:dyDescent="0.25">
      <c r="A210" t="s">
        <v>3659</v>
      </c>
      <c r="B210">
        <v>1</v>
      </c>
      <c r="C210">
        <v>2140</v>
      </c>
      <c r="D210">
        <v>2407</v>
      </c>
    </row>
    <row r="211" spans="1:15" x14ac:dyDescent="0.25">
      <c r="A211" t="s">
        <v>4018</v>
      </c>
      <c r="B211">
        <v>2</v>
      </c>
      <c r="C211">
        <v>748</v>
      </c>
      <c r="D211">
        <v>784</v>
      </c>
    </row>
    <row r="212" spans="1:15" x14ac:dyDescent="0.25">
      <c r="A212" t="s">
        <v>1543</v>
      </c>
      <c r="B212">
        <v>3</v>
      </c>
      <c r="C212">
        <v>0</v>
      </c>
      <c r="D212">
        <v>1</v>
      </c>
    </row>
    <row r="213" spans="1:15" x14ac:dyDescent="0.25">
      <c r="A213" t="s">
        <v>4017</v>
      </c>
      <c r="B213">
        <v>4</v>
      </c>
      <c r="C213">
        <v>74</v>
      </c>
      <c r="D213">
        <v>355</v>
      </c>
    </row>
    <row r="214" spans="1:15" x14ac:dyDescent="0.25">
      <c r="A214" t="s">
        <v>4016</v>
      </c>
      <c r="B214">
        <v>5</v>
      </c>
      <c r="C214">
        <v>1</v>
      </c>
      <c r="D214">
        <v>5</v>
      </c>
    </row>
    <row r="216" spans="1:15" x14ac:dyDescent="0.25">
      <c r="C216" t="s">
        <v>1811</v>
      </c>
      <c r="D216" t="s">
        <v>3607</v>
      </c>
      <c r="M216">
        <f>14-3-3-2-1-1</f>
        <v>4</v>
      </c>
    </row>
    <row r="217" spans="1:15" x14ac:dyDescent="0.25">
      <c r="A217" t="s">
        <v>1520</v>
      </c>
      <c r="B217">
        <v>0</v>
      </c>
      <c r="C217">
        <v>1</v>
      </c>
      <c r="D217">
        <v>8</v>
      </c>
    </row>
    <row r="218" spans="1:15" x14ac:dyDescent="0.25">
      <c r="A218" t="s">
        <v>3659</v>
      </c>
      <c r="B218">
        <v>1</v>
      </c>
      <c r="C218">
        <v>2471</v>
      </c>
      <c r="D218">
        <v>2856</v>
      </c>
    </row>
    <row r="219" spans="1:15" x14ac:dyDescent="0.25">
      <c r="A219" t="s">
        <v>4018</v>
      </c>
      <c r="B219">
        <v>2</v>
      </c>
      <c r="C219">
        <v>751</v>
      </c>
      <c r="D219">
        <v>883</v>
      </c>
    </row>
    <row r="220" spans="1:15" x14ac:dyDescent="0.25">
      <c r="A220" t="s">
        <v>1543</v>
      </c>
      <c r="B220">
        <v>3</v>
      </c>
      <c r="C220">
        <v>0</v>
      </c>
      <c r="D220">
        <v>1</v>
      </c>
      <c r="N220">
        <f>6*0.2*0.75*(2.5+3+3+1)</f>
        <v>8.5500000000000007</v>
      </c>
    </row>
    <row r="221" spans="1:15" x14ac:dyDescent="0.25">
      <c r="A221" t="s">
        <v>4017</v>
      </c>
      <c r="B221">
        <v>4</v>
      </c>
      <c r="C221">
        <v>130</v>
      </c>
      <c r="D221">
        <v>736</v>
      </c>
      <c r="O221">
        <f>-1-3-3-1-1-1</f>
        <v>-10</v>
      </c>
    </row>
    <row r="222" spans="1:15" x14ac:dyDescent="0.25">
      <c r="A222" t="s">
        <v>4016</v>
      </c>
      <c r="B222">
        <v>5</v>
      </c>
      <c r="C222">
        <v>0</v>
      </c>
      <c r="D222">
        <v>7</v>
      </c>
      <c r="O222">
        <f>(1+1+1)*(2.5+3+3+7+2+2)</f>
        <v>58.5</v>
      </c>
    </row>
    <row r="224" spans="1:15" x14ac:dyDescent="0.25">
      <c r="C224" t="s">
        <v>1811</v>
      </c>
      <c r="D224" t="s">
        <v>3607</v>
      </c>
      <c r="F224" t="s">
        <v>1811</v>
      </c>
      <c r="G224" t="s">
        <v>3607</v>
      </c>
      <c r="I224" t="s">
        <v>1811</v>
      </c>
      <c r="J224" t="s">
        <v>3607</v>
      </c>
      <c r="N224">
        <f>4*(10.5+1+1+8+4)</f>
        <v>98</v>
      </c>
    </row>
    <row r="225" spans="1:17" x14ac:dyDescent="0.25">
      <c r="A225" t="s">
        <v>1520</v>
      </c>
      <c r="B225">
        <v>0</v>
      </c>
      <c r="C225">
        <f t="shared" ref="C225:D230" si="3">C217+C209</f>
        <v>35</v>
      </c>
      <c r="D225">
        <f t="shared" si="3"/>
        <v>44</v>
      </c>
      <c r="E225" t="s">
        <v>1520</v>
      </c>
      <c r="F225">
        <f>C225/C231</f>
        <v>5.5118110236220472E-3</v>
      </c>
      <c r="G225">
        <f>D225/D231</f>
        <v>5.4462185914098283E-3</v>
      </c>
      <c r="H225" t="s">
        <v>1520</v>
      </c>
      <c r="I225">
        <f t="shared" ref="I225:J230" si="4">F225*100</f>
        <v>0.55118110236220474</v>
      </c>
      <c r="J225">
        <f t="shared" si="4"/>
        <v>0.54462185914098282</v>
      </c>
    </row>
    <row r="226" spans="1:17" x14ac:dyDescent="0.25">
      <c r="A226" t="s">
        <v>3659</v>
      </c>
      <c r="B226">
        <v>1</v>
      </c>
      <c r="C226">
        <f t="shared" si="3"/>
        <v>4611</v>
      </c>
      <c r="D226">
        <f t="shared" si="3"/>
        <v>5263</v>
      </c>
      <c r="E226" t="s">
        <v>3659</v>
      </c>
      <c r="F226">
        <f>C226/C231</f>
        <v>0.72614173228346457</v>
      </c>
      <c r="G226">
        <f>D226/D231</f>
        <v>0.65144201014977099</v>
      </c>
      <c r="H226" t="s">
        <v>3659</v>
      </c>
      <c r="I226">
        <f t="shared" si="4"/>
        <v>72.614173228346459</v>
      </c>
      <c r="J226">
        <f t="shared" si="4"/>
        <v>65.144201014977099</v>
      </c>
      <c r="Q226" t="s">
        <v>1238</v>
      </c>
    </row>
    <row r="227" spans="1:17" x14ac:dyDescent="0.25">
      <c r="A227" t="s">
        <v>4018</v>
      </c>
      <c r="B227">
        <v>2</v>
      </c>
      <c r="C227">
        <f t="shared" si="3"/>
        <v>1499</v>
      </c>
      <c r="D227">
        <f t="shared" si="3"/>
        <v>1667</v>
      </c>
      <c r="E227" t="s">
        <v>4018</v>
      </c>
      <c r="F227">
        <f>C227/C231</f>
        <v>0.23606299212598425</v>
      </c>
      <c r="G227">
        <f>D227/D231</f>
        <v>0.2063374179972769</v>
      </c>
      <c r="H227" t="s">
        <v>4018</v>
      </c>
      <c r="I227">
        <f t="shared" si="4"/>
        <v>23.606299212598426</v>
      </c>
      <c r="J227">
        <f t="shared" si="4"/>
        <v>20.633741799727691</v>
      </c>
      <c r="Q227" t="s">
        <v>1238</v>
      </c>
    </row>
    <row r="228" spans="1:17" x14ac:dyDescent="0.25">
      <c r="A228" t="s">
        <v>1543</v>
      </c>
      <c r="B228">
        <v>3</v>
      </c>
      <c r="C228">
        <f t="shared" si="3"/>
        <v>0</v>
      </c>
      <c r="D228">
        <f t="shared" si="3"/>
        <v>2</v>
      </c>
      <c r="E228" t="s">
        <v>1543</v>
      </c>
      <c r="F228">
        <f>C228/C231</f>
        <v>0</v>
      </c>
      <c r="G228">
        <f>D228/D231</f>
        <v>2.4755539051862855E-4</v>
      </c>
      <c r="H228" t="s">
        <v>1543</v>
      </c>
      <c r="I228">
        <f t="shared" si="4"/>
        <v>0</v>
      </c>
      <c r="J228">
        <f t="shared" si="4"/>
        <v>2.4755539051862854E-2</v>
      </c>
      <c r="Q228" t="s">
        <v>1238</v>
      </c>
    </row>
    <row r="229" spans="1:17" x14ac:dyDescent="0.25">
      <c r="A229" t="s">
        <v>4017</v>
      </c>
      <c r="B229">
        <v>4</v>
      </c>
      <c r="C229">
        <f t="shared" si="3"/>
        <v>204</v>
      </c>
      <c r="D229">
        <f t="shared" si="3"/>
        <v>1091</v>
      </c>
      <c r="E229" t="s">
        <v>4017</v>
      </c>
      <c r="F229">
        <f>C229/C231</f>
        <v>3.2125984251968505E-2</v>
      </c>
      <c r="G229">
        <f>D229/D231</f>
        <v>0.13504146552791188</v>
      </c>
      <c r="H229" t="s">
        <v>4017</v>
      </c>
      <c r="I229">
        <f t="shared" si="4"/>
        <v>3.2125984251968505</v>
      </c>
      <c r="J229">
        <f t="shared" si="4"/>
        <v>13.504146552791187</v>
      </c>
      <c r="M229" t="s">
        <v>2413</v>
      </c>
      <c r="Q229" t="s">
        <v>2413</v>
      </c>
    </row>
    <row r="230" spans="1:17" x14ac:dyDescent="0.25">
      <c r="A230" t="s">
        <v>4016</v>
      </c>
      <c r="B230">
        <v>5</v>
      </c>
      <c r="C230">
        <f t="shared" si="3"/>
        <v>1</v>
      </c>
      <c r="D230">
        <f t="shared" si="3"/>
        <v>12</v>
      </c>
      <c r="E230" t="s">
        <v>4016</v>
      </c>
      <c r="F230">
        <f>C230/C231</f>
        <v>1.5748031496062991E-4</v>
      </c>
      <c r="G230">
        <f>D230/D231</f>
        <v>1.4853323431117712E-3</v>
      </c>
      <c r="H230" t="s">
        <v>4016</v>
      </c>
      <c r="I230">
        <f t="shared" si="4"/>
        <v>1.5748031496062992E-2</v>
      </c>
      <c r="J230">
        <f t="shared" si="4"/>
        <v>0.14853323431117713</v>
      </c>
      <c r="M230" t="s">
        <v>1301</v>
      </c>
      <c r="O230" t="s">
        <v>4019</v>
      </c>
      <c r="Q230" t="s">
        <v>1301</v>
      </c>
    </row>
    <row r="231" spans="1:17" x14ac:dyDescent="0.25">
      <c r="C231">
        <f>SUM(C225:C230)</f>
        <v>6350</v>
      </c>
      <c r="D231">
        <f>SUM(D225:D230)</f>
        <v>8079</v>
      </c>
      <c r="I231">
        <f>I225+I228+I229+I230</f>
        <v>3.7795275590551181</v>
      </c>
      <c r="J231">
        <f>J225+J228+J229+J230</f>
        <v>14.22205718529521</v>
      </c>
      <c r="M231" t="s">
        <v>1238</v>
      </c>
      <c r="O231" t="s">
        <v>4020</v>
      </c>
      <c r="Q231" t="s">
        <v>1292</v>
      </c>
    </row>
    <row r="232" spans="1:17" x14ac:dyDescent="0.25">
      <c r="M232" t="s">
        <v>580</v>
      </c>
      <c r="O232" t="s">
        <v>2737</v>
      </c>
    </row>
    <row r="233" spans="1:17" x14ac:dyDescent="0.25">
      <c r="H233">
        <f>65+20.6</f>
        <v>85.6</v>
      </c>
      <c r="O233" t="s">
        <v>1491</v>
      </c>
    </row>
    <row r="234" spans="1:17" x14ac:dyDescent="0.25">
      <c r="H234">
        <f>100-H233</f>
        <v>14.400000000000006</v>
      </c>
      <c r="O234" t="s">
        <v>632</v>
      </c>
    </row>
    <row r="235" spans="1:17" x14ac:dyDescent="0.25">
      <c r="E235">
        <f>(2+1+1)*(25+1+1)</f>
        <v>108</v>
      </c>
      <c r="L235">
        <f>(5.5+5.5+4+11)*(1+1+1)</f>
        <v>78</v>
      </c>
    </row>
    <row r="236" spans="1:17" x14ac:dyDescent="0.25">
      <c r="L236">
        <f>(5.5+5.5+4+11+1+1+2+3)*(1+1+1+1)</f>
        <v>132</v>
      </c>
      <c r="P236" t="s">
        <v>2118</v>
      </c>
      <c r="Q236" t="s">
        <v>2158</v>
      </c>
    </row>
    <row r="237" spans="1:17" x14ac:dyDescent="0.25">
      <c r="E237">
        <f>5*(3.5+8+5+2+1)</f>
        <v>97.5</v>
      </c>
      <c r="P237" t="s">
        <v>1491</v>
      </c>
      <c r="Q237" t="s">
        <v>4050</v>
      </c>
    </row>
    <row r="238" spans="1:17" x14ac:dyDescent="0.25">
      <c r="C238">
        <f>9*15+3*11</f>
        <v>168</v>
      </c>
      <c r="J238">
        <f>15*9+3*11</f>
        <v>168</v>
      </c>
      <c r="L238">
        <f>5*(3.5+5+5+2+1+1+10)</f>
        <v>137.5</v>
      </c>
      <c r="O238" t="s">
        <v>627</v>
      </c>
      <c r="P238" t="s">
        <v>1238</v>
      </c>
    </row>
    <row r="239" spans="1:17" x14ac:dyDescent="0.25">
      <c r="C239">
        <f>C238*1.5</f>
        <v>252</v>
      </c>
      <c r="J239">
        <f>J238*1.5</f>
        <v>252</v>
      </c>
      <c r="M239">
        <f>(2+1+1)*(5.5+5.5+4+11+2)</f>
        <v>112</v>
      </c>
      <c r="O239">
        <v>2</v>
      </c>
      <c r="P239" t="s">
        <v>1238</v>
      </c>
      <c r="Q239" t="s">
        <v>4049</v>
      </c>
    </row>
    <row r="240" spans="1:17" x14ac:dyDescent="0.25">
      <c r="C240">
        <f>C239/0.6</f>
        <v>420</v>
      </c>
      <c r="O240">
        <v>3</v>
      </c>
      <c r="P240" t="s">
        <v>1238</v>
      </c>
    </row>
    <row r="241" spans="3:18" x14ac:dyDescent="0.25">
      <c r="C241">
        <f>420*0.6</f>
        <v>252</v>
      </c>
      <c r="F241">
        <v>1</v>
      </c>
      <c r="G241" t="s">
        <v>3102</v>
      </c>
      <c r="P241" t="s">
        <v>1301</v>
      </c>
      <c r="Q241" t="s">
        <v>4048</v>
      </c>
    </row>
    <row r="242" spans="3:18" x14ac:dyDescent="0.25">
      <c r="F242">
        <v>1</v>
      </c>
      <c r="G242" t="s">
        <v>4024</v>
      </c>
    </row>
    <row r="243" spans="3:18" x14ac:dyDescent="0.25">
      <c r="F243">
        <v>1</v>
      </c>
      <c r="G243" t="s">
        <v>1228</v>
      </c>
      <c r="K243" t="s">
        <v>627</v>
      </c>
      <c r="M243" t="s">
        <v>3994</v>
      </c>
      <c r="O243" t="s">
        <v>3995</v>
      </c>
    </row>
    <row r="244" spans="3:18" x14ac:dyDescent="0.25">
      <c r="F244">
        <v>1</v>
      </c>
      <c r="G244" t="s">
        <v>2321</v>
      </c>
      <c r="J244">
        <v>1</v>
      </c>
      <c r="K244" t="s">
        <v>3102</v>
      </c>
      <c r="M244" t="s">
        <v>3102</v>
      </c>
      <c r="O244" t="s">
        <v>3102</v>
      </c>
    </row>
    <row r="245" spans="3:18" x14ac:dyDescent="0.25">
      <c r="F245">
        <v>1</v>
      </c>
      <c r="G245" t="s">
        <v>2454</v>
      </c>
      <c r="J245">
        <v>1</v>
      </c>
      <c r="K245" t="s">
        <v>4024</v>
      </c>
      <c r="M245" t="s">
        <v>1228</v>
      </c>
      <c r="O245" t="s">
        <v>2454</v>
      </c>
    </row>
    <row r="246" spans="3:18" x14ac:dyDescent="0.25">
      <c r="F246">
        <v>1</v>
      </c>
      <c r="G246" t="s">
        <v>1952</v>
      </c>
      <c r="J246">
        <v>3</v>
      </c>
      <c r="K246" t="s">
        <v>2454</v>
      </c>
      <c r="M246" t="s">
        <v>1952</v>
      </c>
      <c r="O246" t="s">
        <v>1952</v>
      </c>
    </row>
    <row r="247" spans="3:18" x14ac:dyDescent="0.25">
      <c r="F247">
        <v>2</v>
      </c>
      <c r="G247" t="s">
        <v>1054</v>
      </c>
      <c r="J247">
        <v>5</v>
      </c>
      <c r="K247" t="s">
        <v>2321</v>
      </c>
      <c r="M247" t="s">
        <v>2321</v>
      </c>
      <c r="O247" t="s">
        <v>2321</v>
      </c>
    </row>
    <row r="248" spans="3:18" x14ac:dyDescent="0.25">
      <c r="F248">
        <v>2</v>
      </c>
      <c r="G248" t="s">
        <v>3106</v>
      </c>
      <c r="J248">
        <v>7</v>
      </c>
      <c r="K248" t="s">
        <v>1952</v>
      </c>
      <c r="M248" t="s">
        <v>2454</v>
      </c>
      <c r="O248" t="s">
        <v>1228</v>
      </c>
    </row>
    <row r="249" spans="3:18" x14ac:dyDescent="0.25">
      <c r="F249">
        <v>2</v>
      </c>
      <c r="G249" t="s">
        <v>2920</v>
      </c>
    </row>
    <row r="250" spans="3:18" x14ac:dyDescent="0.25">
      <c r="F250">
        <v>2</v>
      </c>
      <c r="G250" t="s">
        <v>4021</v>
      </c>
      <c r="J250">
        <v>4</v>
      </c>
      <c r="K250" t="s">
        <v>2416</v>
      </c>
      <c r="M250" t="s">
        <v>3106</v>
      </c>
      <c r="O250" t="s">
        <v>3106</v>
      </c>
    </row>
    <row r="251" spans="3:18" x14ac:dyDescent="0.25">
      <c r="F251">
        <v>2</v>
      </c>
      <c r="G251" t="s">
        <v>3107</v>
      </c>
      <c r="J251">
        <v>5</v>
      </c>
      <c r="K251" t="s">
        <v>1054</v>
      </c>
      <c r="M251" t="s">
        <v>2920</v>
      </c>
      <c r="O251" t="s">
        <v>2416</v>
      </c>
    </row>
    <row r="252" spans="3:18" x14ac:dyDescent="0.25">
      <c r="F252">
        <v>2</v>
      </c>
      <c r="G252" t="s">
        <v>2416</v>
      </c>
      <c r="J252">
        <v>7</v>
      </c>
      <c r="K252" t="s">
        <v>3107</v>
      </c>
      <c r="M252" t="s">
        <v>3107</v>
      </c>
      <c r="O252" t="s">
        <v>3107</v>
      </c>
      <c r="R252">
        <f>6*(2.5+5)</f>
        <v>45</v>
      </c>
    </row>
    <row r="253" spans="3:18" x14ac:dyDescent="0.25">
      <c r="F253">
        <v>3</v>
      </c>
      <c r="G253" t="s">
        <v>4022</v>
      </c>
      <c r="J253">
        <v>9</v>
      </c>
      <c r="K253" t="s">
        <v>2920</v>
      </c>
      <c r="M253" t="s">
        <v>2416</v>
      </c>
      <c r="O253" t="s">
        <v>2920</v>
      </c>
      <c r="R253">
        <f>6*3.5</f>
        <v>21</v>
      </c>
    </row>
    <row r="254" spans="3:18" x14ac:dyDescent="0.25">
      <c r="F254">
        <v>3</v>
      </c>
      <c r="G254" t="s">
        <v>4023</v>
      </c>
      <c r="J254">
        <v>11</v>
      </c>
    </row>
    <row r="255" spans="3:18" x14ac:dyDescent="0.25">
      <c r="D255">
        <f>1-5-1-3</f>
        <v>-8</v>
      </c>
      <c r="F255">
        <v>3</v>
      </c>
      <c r="G255" t="s">
        <v>2353</v>
      </c>
    </row>
    <row r="256" spans="3:18" x14ac:dyDescent="0.25">
      <c r="F256">
        <v>3</v>
      </c>
      <c r="G256" t="s">
        <v>3999</v>
      </c>
      <c r="J256">
        <v>6</v>
      </c>
      <c r="K256" t="s">
        <v>3999</v>
      </c>
      <c r="M256" t="s">
        <v>3999</v>
      </c>
      <c r="O256" t="s">
        <v>3999</v>
      </c>
    </row>
    <row r="257" spans="4:18" x14ac:dyDescent="0.25">
      <c r="F257">
        <v>3</v>
      </c>
      <c r="G257" t="s">
        <v>4029</v>
      </c>
      <c r="J257">
        <v>7</v>
      </c>
      <c r="K257" t="s">
        <v>2326</v>
      </c>
      <c r="M257" t="s">
        <v>416</v>
      </c>
      <c r="O257" t="s">
        <v>416</v>
      </c>
    </row>
    <row r="258" spans="4:18" x14ac:dyDescent="0.25">
      <c r="F258">
        <v>4</v>
      </c>
      <c r="G258" t="s">
        <v>1341</v>
      </c>
      <c r="J258">
        <v>9</v>
      </c>
      <c r="K258" t="s">
        <v>4029</v>
      </c>
      <c r="M258" t="s">
        <v>4045</v>
      </c>
      <c r="O258" t="s">
        <v>2353</v>
      </c>
    </row>
    <row r="259" spans="4:18" x14ac:dyDescent="0.25">
      <c r="F259">
        <v>4</v>
      </c>
      <c r="G259" t="s">
        <v>2923</v>
      </c>
      <c r="J259">
        <v>11</v>
      </c>
    </row>
    <row r="260" spans="4:18" x14ac:dyDescent="0.25">
      <c r="D260">
        <f>3*4.5+5</f>
        <v>18.5</v>
      </c>
      <c r="F260">
        <v>4</v>
      </c>
      <c r="G260" t="s">
        <v>1948</v>
      </c>
      <c r="J260">
        <v>22</v>
      </c>
    </row>
    <row r="261" spans="4:18" x14ac:dyDescent="0.25">
      <c r="F261">
        <v>4</v>
      </c>
      <c r="G261" t="s">
        <v>4025</v>
      </c>
    </row>
    <row r="262" spans="4:18" x14ac:dyDescent="0.25">
      <c r="F262">
        <v>4</v>
      </c>
      <c r="G262" t="s">
        <v>3997</v>
      </c>
      <c r="J262">
        <v>8</v>
      </c>
      <c r="K262" t="s">
        <v>1341</v>
      </c>
      <c r="M262" t="s">
        <v>4026</v>
      </c>
      <c r="O262" t="s">
        <v>3997</v>
      </c>
    </row>
    <row r="263" spans="4:18" x14ac:dyDescent="0.25">
      <c r="F263">
        <v>4</v>
      </c>
      <c r="G263" t="s">
        <v>4026</v>
      </c>
      <c r="J263">
        <v>9</v>
      </c>
      <c r="K263" t="s">
        <v>4025</v>
      </c>
      <c r="M263" t="s">
        <v>1341</v>
      </c>
      <c r="O263" t="s">
        <v>1341</v>
      </c>
    </row>
    <row r="264" spans="4:18" x14ac:dyDescent="0.25">
      <c r="F264">
        <v>4</v>
      </c>
      <c r="G264" t="s">
        <v>4003</v>
      </c>
      <c r="J264">
        <v>11</v>
      </c>
      <c r="K264" t="s">
        <v>4003</v>
      </c>
      <c r="M264" t="s">
        <v>4046</v>
      </c>
      <c r="O264" t="s">
        <v>1948</v>
      </c>
    </row>
    <row r="265" spans="4:18" x14ac:dyDescent="0.25">
      <c r="F265">
        <v>5</v>
      </c>
      <c r="G265" t="s">
        <v>4027</v>
      </c>
      <c r="J265">
        <v>13</v>
      </c>
      <c r="R265">
        <f>(6+2+4)*5*2</f>
        <v>120</v>
      </c>
    </row>
    <row r="266" spans="4:18" x14ac:dyDescent="0.25">
      <c r="F266">
        <v>5</v>
      </c>
      <c r="G266" t="s">
        <v>4004</v>
      </c>
      <c r="J266">
        <v>23</v>
      </c>
    </row>
    <row r="267" spans="4:18" x14ac:dyDescent="0.25">
      <c r="F267">
        <v>5</v>
      </c>
      <c r="G267" t="s">
        <v>2404</v>
      </c>
    </row>
    <row r="268" spans="4:18" x14ac:dyDescent="0.25">
      <c r="F268">
        <v>5</v>
      </c>
      <c r="G268" t="s">
        <v>1342</v>
      </c>
      <c r="J268">
        <v>10</v>
      </c>
      <c r="K268" t="s">
        <v>1342</v>
      </c>
      <c r="M268" t="s">
        <v>2404</v>
      </c>
      <c r="O268" t="s">
        <v>2404</v>
      </c>
      <c r="Q268">
        <f>3.5*5</f>
        <v>17.5</v>
      </c>
    </row>
    <row r="269" spans="4:18" x14ac:dyDescent="0.25">
      <c r="F269">
        <v>5</v>
      </c>
      <c r="G269" t="s">
        <v>4028</v>
      </c>
      <c r="J269">
        <v>11</v>
      </c>
      <c r="K269" t="s">
        <v>4027</v>
      </c>
      <c r="M269" t="s">
        <v>4027</v>
      </c>
      <c r="O269" t="s">
        <v>4004</v>
      </c>
      <c r="Q269">
        <f>Q268*6+120</f>
        <v>225</v>
      </c>
    </row>
    <row r="270" spans="4:18" x14ac:dyDescent="0.25">
      <c r="F270">
        <v>5</v>
      </c>
      <c r="G270" t="s">
        <v>4030</v>
      </c>
      <c r="J270" s="9">
        <v>13</v>
      </c>
      <c r="R270">
        <f>30*3.5*0.75</f>
        <v>78.75</v>
      </c>
    </row>
    <row r="271" spans="4:18" x14ac:dyDescent="0.25">
      <c r="F271">
        <v>6</v>
      </c>
      <c r="G271" t="s">
        <v>3998</v>
      </c>
      <c r="J271" s="9">
        <v>15</v>
      </c>
    </row>
    <row r="272" spans="4:18" x14ac:dyDescent="0.25">
      <c r="F272">
        <v>6</v>
      </c>
      <c r="G272" t="s">
        <v>4031</v>
      </c>
      <c r="J272" s="9"/>
    </row>
    <row r="273" spans="3:15" x14ac:dyDescent="0.25">
      <c r="F273">
        <v>6</v>
      </c>
      <c r="G273" t="s">
        <v>1695</v>
      </c>
      <c r="J273" s="9">
        <v>12</v>
      </c>
      <c r="K273" t="s">
        <v>681</v>
      </c>
      <c r="M273" t="s">
        <v>305</v>
      </c>
      <c r="O273" t="s">
        <v>1695</v>
      </c>
    </row>
    <row r="274" spans="3:15" x14ac:dyDescent="0.25">
      <c r="F274">
        <v>6</v>
      </c>
      <c r="G274" t="s">
        <v>681</v>
      </c>
      <c r="J274" s="9">
        <v>13</v>
      </c>
      <c r="K274" s="9"/>
      <c r="L274" s="9"/>
      <c r="N274" s="9"/>
      <c r="O274" s="9"/>
    </row>
    <row r="275" spans="3:15" x14ac:dyDescent="0.25">
      <c r="F275">
        <v>6</v>
      </c>
      <c r="G275" t="s">
        <v>305</v>
      </c>
      <c r="J275" s="9">
        <v>15</v>
      </c>
      <c r="K275" s="9" t="s">
        <v>1695</v>
      </c>
      <c r="L275" s="9"/>
      <c r="M275" s="9" t="s">
        <v>1695</v>
      </c>
      <c r="N275" s="9"/>
    </row>
    <row r="276" spans="3:15" x14ac:dyDescent="0.25">
      <c r="F276">
        <v>6</v>
      </c>
      <c r="G276" t="s">
        <v>4032</v>
      </c>
      <c r="J276" s="9">
        <v>21</v>
      </c>
      <c r="M276" t="s">
        <v>2840</v>
      </c>
    </row>
    <row r="277" spans="3:15" x14ac:dyDescent="0.25">
      <c r="F277">
        <v>7</v>
      </c>
      <c r="G277" t="s">
        <v>4033</v>
      </c>
    </row>
    <row r="278" spans="3:15" x14ac:dyDescent="0.25">
      <c r="F278">
        <v>7</v>
      </c>
      <c r="G278" t="s">
        <v>4034</v>
      </c>
      <c r="J278" s="9">
        <v>14</v>
      </c>
      <c r="K278" t="s">
        <v>4033</v>
      </c>
      <c r="M278" t="s">
        <v>4034</v>
      </c>
      <c r="O278" t="s">
        <v>1057</v>
      </c>
    </row>
    <row r="279" spans="3:15" x14ac:dyDescent="0.25">
      <c r="F279">
        <v>7</v>
      </c>
      <c r="G279" t="s">
        <v>1057</v>
      </c>
      <c r="J279" s="9">
        <v>15</v>
      </c>
    </row>
    <row r="280" spans="3:15" x14ac:dyDescent="0.25">
      <c r="D280" t="s">
        <v>4001</v>
      </c>
      <c r="F280">
        <v>7</v>
      </c>
      <c r="G280" t="s">
        <v>4035</v>
      </c>
      <c r="J280" s="9">
        <v>17</v>
      </c>
    </row>
    <row r="281" spans="3:15" x14ac:dyDescent="0.25">
      <c r="D281" t="s">
        <v>3996</v>
      </c>
      <c r="F281">
        <v>7</v>
      </c>
      <c r="G281" t="s">
        <v>4036</v>
      </c>
      <c r="J281" s="9">
        <v>22</v>
      </c>
    </row>
    <row r="282" spans="3:15" x14ac:dyDescent="0.25">
      <c r="D282" t="s">
        <v>4041</v>
      </c>
      <c r="F282">
        <v>7</v>
      </c>
      <c r="G282" t="s">
        <v>1656</v>
      </c>
    </row>
    <row r="283" spans="3:15" x14ac:dyDescent="0.25">
      <c r="D283" t="s">
        <v>4011</v>
      </c>
      <c r="F283">
        <v>7</v>
      </c>
      <c r="G283" t="s">
        <v>1056</v>
      </c>
      <c r="J283" s="9">
        <v>16</v>
      </c>
      <c r="K283" t="s">
        <v>4040</v>
      </c>
      <c r="M283" t="s">
        <v>4039</v>
      </c>
    </row>
    <row r="284" spans="3:15" x14ac:dyDescent="0.25">
      <c r="D284" t="s">
        <v>4008</v>
      </c>
      <c r="F284">
        <v>7</v>
      </c>
      <c r="G284" t="s">
        <v>4037</v>
      </c>
      <c r="J284" s="9">
        <v>17</v>
      </c>
      <c r="K284" t="s">
        <v>4039</v>
      </c>
      <c r="M284" t="s">
        <v>4040</v>
      </c>
      <c r="O284" t="s">
        <v>4040</v>
      </c>
    </row>
    <row r="285" spans="3:15" x14ac:dyDescent="0.25">
      <c r="F285">
        <v>8</v>
      </c>
      <c r="G285" t="s">
        <v>4038</v>
      </c>
      <c r="J285" s="9">
        <v>19</v>
      </c>
    </row>
    <row r="286" spans="3:15" x14ac:dyDescent="0.25">
      <c r="F286">
        <v>8</v>
      </c>
      <c r="G286" t="s">
        <v>4039</v>
      </c>
      <c r="J286" s="9">
        <v>23</v>
      </c>
    </row>
    <row r="287" spans="3:15" x14ac:dyDescent="0.25">
      <c r="C287" s="23" t="s">
        <v>797</v>
      </c>
      <c r="D287" t="s">
        <v>2743</v>
      </c>
      <c r="F287">
        <v>8</v>
      </c>
      <c r="G287" t="s">
        <v>4040</v>
      </c>
    </row>
    <row r="288" spans="3:15" x14ac:dyDescent="0.25">
      <c r="C288" s="9" t="s">
        <v>987</v>
      </c>
      <c r="F288">
        <v>8</v>
      </c>
      <c r="G288" t="s">
        <v>2466</v>
      </c>
      <c r="J288" s="9">
        <v>18</v>
      </c>
      <c r="K288" t="s">
        <v>866</v>
      </c>
      <c r="M288" t="s">
        <v>866</v>
      </c>
      <c r="O288" t="s">
        <v>866</v>
      </c>
    </row>
    <row r="289" spans="3:19" x14ac:dyDescent="0.25">
      <c r="C289" s="9" t="s">
        <v>1757</v>
      </c>
      <c r="D289" t="s">
        <v>1629</v>
      </c>
      <c r="F289">
        <v>8</v>
      </c>
      <c r="G289" t="s">
        <v>1614</v>
      </c>
      <c r="J289" s="9">
        <v>19</v>
      </c>
      <c r="K289" t="s">
        <v>4009</v>
      </c>
      <c r="M289" t="s">
        <v>4044</v>
      </c>
      <c r="O289" t="s">
        <v>4005</v>
      </c>
    </row>
    <row r="290" spans="3:19" x14ac:dyDescent="0.25">
      <c r="C290" s="23" t="s">
        <v>2515</v>
      </c>
      <c r="F290">
        <v>8</v>
      </c>
      <c r="G290" t="s">
        <v>4042</v>
      </c>
      <c r="J290" s="9">
        <v>20</v>
      </c>
      <c r="K290" t="s">
        <v>4043</v>
      </c>
      <c r="M290" t="s">
        <v>4006</v>
      </c>
      <c r="O290" s="2" t="s">
        <v>1653</v>
      </c>
      <c r="P290" t="s">
        <v>4047</v>
      </c>
    </row>
    <row r="291" spans="3:19" x14ac:dyDescent="0.25">
      <c r="C291" s="9" t="s">
        <v>2516</v>
      </c>
      <c r="F291">
        <v>9</v>
      </c>
      <c r="G291" t="s">
        <v>1928</v>
      </c>
      <c r="J291" s="9">
        <v>25</v>
      </c>
    </row>
    <row r="292" spans="3:19" x14ac:dyDescent="0.25">
      <c r="C292" s="23" t="s">
        <v>2517</v>
      </c>
      <c r="F292">
        <v>9</v>
      </c>
      <c r="G292" t="s">
        <v>4007</v>
      </c>
    </row>
    <row r="293" spans="3:19" x14ac:dyDescent="0.25">
      <c r="C293" s="9" t="s">
        <v>990</v>
      </c>
      <c r="F293">
        <v>9</v>
      </c>
      <c r="G293" t="s">
        <v>1905</v>
      </c>
    </row>
    <row r="294" spans="3:19" x14ac:dyDescent="0.25">
      <c r="C294" s="23" t="s">
        <v>815</v>
      </c>
      <c r="F294">
        <v>9</v>
      </c>
      <c r="G294" t="s">
        <v>4043</v>
      </c>
      <c r="S294">
        <f>5*(2.5+4+5+3)</f>
        <v>72.5</v>
      </c>
    </row>
    <row r="295" spans="3:19" x14ac:dyDescent="0.25">
      <c r="C295" s="9" t="s">
        <v>1572</v>
      </c>
      <c r="F295">
        <v>9</v>
      </c>
      <c r="G295" t="s">
        <v>4005</v>
      </c>
    </row>
    <row r="296" spans="3:19" x14ac:dyDescent="0.25">
      <c r="C296" s="9" t="s">
        <v>619</v>
      </c>
      <c r="F296">
        <v>9</v>
      </c>
      <c r="G296" t="s">
        <v>1653</v>
      </c>
      <c r="L296" t="s">
        <v>4051</v>
      </c>
    </row>
    <row r="297" spans="3:19" x14ac:dyDescent="0.25">
      <c r="C297" s="23" t="s">
        <v>991</v>
      </c>
      <c r="F297">
        <v>9</v>
      </c>
      <c r="G297" t="s">
        <v>4009</v>
      </c>
      <c r="L297" t="s">
        <v>4052</v>
      </c>
    </row>
    <row r="298" spans="3:19" x14ac:dyDescent="0.25">
      <c r="C298" s="9" t="s">
        <v>1080</v>
      </c>
      <c r="F298">
        <v>9</v>
      </c>
      <c r="G298" t="s">
        <v>4044</v>
      </c>
    </row>
    <row r="299" spans="3:19" x14ac:dyDescent="0.25">
      <c r="C299" s="23" t="s">
        <v>1787</v>
      </c>
      <c r="F299">
        <v>9</v>
      </c>
      <c r="G299" t="s">
        <v>1931</v>
      </c>
      <c r="O299" t="s">
        <v>3957</v>
      </c>
    </row>
    <row r="300" spans="3:19" x14ac:dyDescent="0.25">
      <c r="C300" s="9" t="s">
        <v>1556</v>
      </c>
      <c r="F300">
        <v>9</v>
      </c>
      <c r="G300" t="s">
        <v>4006</v>
      </c>
      <c r="K300" s="4" t="s">
        <v>2740</v>
      </c>
      <c r="M300" s="1" t="s">
        <v>670</v>
      </c>
      <c r="O300" t="s">
        <v>4053</v>
      </c>
    </row>
    <row r="301" spans="3:19" x14ac:dyDescent="0.25">
      <c r="C301" s="9" t="s">
        <v>1143</v>
      </c>
      <c r="F301">
        <v>9</v>
      </c>
      <c r="G301" t="s">
        <v>866</v>
      </c>
      <c r="K301" s="4" t="s">
        <v>2743</v>
      </c>
      <c r="M301" s="4" t="s">
        <v>1854</v>
      </c>
      <c r="O301" t="s">
        <v>4055</v>
      </c>
    </row>
    <row r="302" spans="3:19" x14ac:dyDescent="0.25">
      <c r="C302" s="23" t="s">
        <v>1082</v>
      </c>
      <c r="K302" t="s">
        <v>1629</v>
      </c>
      <c r="L302" t="s">
        <v>1859</v>
      </c>
      <c r="M302" s="4" t="s">
        <v>667</v>
      </c>
      <c r="O302" t="s">
        <v>1491</v>
      </c>
      <c r="R302">
        <f>2*(3.5+3+3+5+2)</f>
        <v>33</v>
      </c>
    </row>
    <row r="303" spans="3:19" x14ac:dyDescent="0.25">
      <c r="C303" s="23" t="s">
        <v>1762</v>
      </c>
      <c r="K303" s="4" t="s">
        <v>1851</v>
      </c>
      <c r="L303" s="1"/>
      <c r="M303" s="1" t="s">
        <v>1629</v>
      </c>
      <c r="O303" t="s">
        <v>632</v>
      </c>
    </row>
    <row r="304" spans="3:19" x14ac:dyDescent="0.25">
      <c r="C304" s="9" t="s">
        <v>1790</v>
      </c>
      <c r="D304" s="9"/>
      <c r="E304" s="9"/>
      <c r="F304" s="9"/>
      <c r="H304" s="9"/>
      <c r="J304" s="9"/>
      <c r="K304" s="4" t="s">
        <v>1507</v>
      </c>
      <c r="L304" t="s">
        <v>1850</v>
      </c>
      <c r="M304" s="1" t="s">
        <v>1507</v>
      </c>
      <c r="O304" s="9" t="s">
        <v>4054</v>
      </c>
      <c r="R304">
        <f>2*(6+3+5+2+1)</f>
        <v>34</v>
      </c>
    </row>
    <row r="305" spans="3:18" x14ac:dyDescent="0.25">
      <c r="D305" s="9"/>
      <c r="E305" s="9"/>
      <c r="F305" s="9"/>
      <c r="K305" s="4" t="s">
        <v>2742</v>
      </c>
      <c r="L305" s="4" t="s">
        <v>1851</v>
      </c>
      <c r="M305" s="1" t="s">
        <v>1853</v>
      </c>
    </row>
    <row r="306" spans="3:18" x14ac:dyDescent="0.25">
      <c r="D306" s="9"/>
      <c r="F306" s="9"/>
      <c r="J306" s="9"/>
      <c r="K306" s="4" t="s">
        <v>1627</v>
      </c>
      <c r="L306" t="s">
        <v>1507</v>
      </c>
      <c r="M306" s="1" t="s">
        <v>1628</v>
      </c>
      <c r="O306" s="9"/>
    </row>
    <row r="307" spans="3:18" x14ac:dyDescent="0.25">
      <c r="C307">
        <f>3.5*4*5</f>
        <v>70</v>
      </c>
      <c r="D307">
        <f>3.5*8*5</f>
        <v>140</v>
      </c>
      <c r="E307">
        <f>D307*0.55</f>
        <v>77</v>
      </c>
      <c r="F307">
        <f>C307*0.45</f>
        <v>31.5</v>
      </c>
      <c r="G307">
        <f>E307+F307</f>
        <v>108.5</v>
      </c>
      <c r="J307" s="9"/>
      <c r="K307" t="s">
        <v>1855</v>
      </c>
      <c r="L307" t="s">
        <v>1865</v>
      </c>
      <c r="M307" s="1" t="s">
        <v>671</v>
      </c>
      <c r="N307" s="9"/>
      <c r="O307" s="9"/>
    </row>
    <row r="308" spans="3:18" x14ac:dyDescent="0.25">
      <c r="C308">
        <f>3.5*2*3</f>
        <v>21</v>
      </c>
      <c r="D308">
        <f>3.5*4*3</f>
        <v>42</v>
      </c>
      <c r="E308">
        <f>D308*0.55</f>
        <v>23.1</v>
      </c>
      <c r="F308">
        <f>C308*0.45</f>
        <v>9.4500000000000011</v>
      </c>
      <c r="G308">
        <f>E308+F308</f>
        <v>32.550000000000004</v>
      </c>
      <c r="H308" s="9"/>
      <c r="J308" s="9"/>
      <c r="K308" t="s">
        <v>1626</v>
      </c>
      <c r="L308" s="4" t="s">
        <v>1866</v>
      </c>
      <c r="M308" s="4" t="s">
        <v>1627</v>
      </c>
      <c r="N308" s="9"/>
      <c r="O308" s="9"/>
    </row>
    <row r="309" spans="3:18" x14ac:dyDescent="0.25">
      <c r="C309" s="9">
        <f>3*3.5*3</f>
        <v>31.5</v>
      </c>
      <c r="D309" s="9">
        <f>3*3.5*6</f>
        <v>63</v>
      </c>
      <c r="E309">
        <f>D309*0.65</f>
        <v>40.950000000000003</v>
      </c>
      <c r="F309">
        <f>C309*0.35</f>
        <v>11.024999999999999</v>
      </c>
      <c r="G309">
        <f>E309+F309</f>
        <v>51.975000000000001</v>
      </c>
      <c r="K309" s="4" t="s">
        <v>2739</v>
      </c>
      <c r="M309" s="1" t="s">
        <v>668</v>
      </c>
    </row>
    <row r="310" spans="3:18" x14ac:dyDescent="0.25">
      <c r="C310">
        <f>SUM(C307:C309)</f>
        <v>122.5</v>
      </c>
      <c r="G310">
        <f>SUM(G307:G309)</f>
        <v>193.02500000000001</v>
      </c>
      <c r="H310">
        <f>27*3</f>
        <v>81</v>
      </c>
      <c r="K310" t="s">
        <v>1631</v>
      </c>
      <c r="L310" t="s">
        <v>671</v>
      </c>
      <c r="M310" s="1" t="s">
        <v>1622</v>
      </c>
      <c r="R310">
        <f>(1+0.5+1+1+1)*(5.5+3+6+1+2)</f>
        <v>78.75</v>
      </c>
    </row>
    <row r="311" spans="3:18" x14ac:dyDescent="0.25">
      <c r="C311">
        <f>C310*0.6</f>
        <v>73.5</v>
      </c>
      <c r="F311">
        <f>3.5*4*5</f>
        <v>70</v>
      </c>
      <c r="G311">
        <f>3.5*8*5</f>
        <v>140</v>
      </c>
      <c r="K311" t="s">
        <v>1630</v>
      </c>
      <c r="L311" s="4" t="s">
        <v>1627</v>
      </c>
      <c r="M311" s="1" t="s">
        <v>1621</v>
      </c>
      <c r="P311">
        <f>15*4</f>
        <v>60</v>
      </c>
      <c r="R311">
        <f>10*(5.5+5+6+3+1)</f>
        <v>205</v>
      </c>
    </row>
    <row r="312" spans="3:18" x14ac:dyDescent="0.25">
      <c r="F312">
        <f>3.5*2*3</f>
        <v>21</v>
      </c>
      <c r="G312">
        <f>3.5*4*3</f>
        <v>42</v>
      </c>
      <c r="H312">
        <f>54+27+96</f>
        <v>177</v>
      </c>
      <c r="K312" t="s">
        <v>1862</v>
      </c>
      <c r="M312" s="1" t="s">
        <v>1623</v>
      </c>
      <c r="P312">
        <f>15*10</f>
        <v>150</v>
      </c>
    </row>
    <row r="313" spans="3:18" x14ac:dyDescent="0.25">
      <c r="F313" s="9">
        <f>3*3.5*3</f>
        <v>31.5</v>
      </c>
      <c r="G313" s="9">
        <f>3*3.5*6</f>
        <v>63</v>
      </c>
      <c r="K313" s="4" t="s">
        <v>1597</v>
      </c>
      <c r="M313" s="1" t="s">
        <v>1626</v>
      </c>
      <c r="P313">
        <f>SUM(P311:P312)</f>
        <v>210</v>
      </c>
      <c r="R313">
        <f>10*(5.5+5.5+4+11+1+1)</f>
        <v>280</v>
      </c>
    </row>
    <row r="314" spans="3:18" x14ac:dyDescent="0.25">
      <c r="F314">
        <f>SUM(F311:F313)</f>
        <v>122.5</v>
      </c>
      <c r="G314">
        <f>SUM(G311:G313)</f>
        <v>245</v>
      </c>
      <c r="H314">
        <f>AVERAGE(F314:G314)</f>
        <v>183.75</v>
      </c>
      <c r="K314" t="s">
        <v>2741</v>
      </c>
      <c r="M314" s="1" t="s">
        <v>672</v>
      </c>
      <c r="P314">
        <f>P313*0.6</f>
        <v>126</v>
      </c>
    </row>
    <row r="315" spans="3:18" x14ac:dyDescent="0.25">
      <c r="M315" s="1" t="s">
        <v>1631</v>
      </c>
      <c r="P315">
        <f>3.5*4*4</f>
        <v>56</v>
      </c>
    </row>
    <row r="316" spans="3:18" x14ac:dyDescent="0.25">
      <c r="M316" s="4" t="s">
        <v>1630</v>
      </c>
      <c r="P316">
        <f>3.5*4*6</f>
        <v>84</v>
      </c>
    </row>
    <row r="317" spans="3:18" x14ac:dyDescent="0.25">
      <c r="C317">
        <v>12</v>
      </c>
      <c r="K317" s="1"/>
      <c r="L317" t="s">
        <v>1631</v>
      </c>
      <c r="M317" s="1" t="s">
        <v>1852</v>
      </c>
      <c r="P317">
        <f>P314+P315+P316</f>
        <v>266</v>
      </c>
    </row>
    <row r="318" spans="3:18" x14ac:dyDescent="0.25">
      <c r="C318" t="s">
        <v>2536</v>
      </c>
      <c r="I318">
        <f>16-3-1-3-2-1-1-1</f>
        <v>4</v>
      </c>
      <c r="L318" t="s">
        <v>1861</v>
      </c>
      <c r="M318" s="1" t="s">
        <v>1625</v>
      </c>
    </row>
    <row r="319" spans="3:18" x14ac:dyDescent="0.25">
      <c r="C319" t="s">
        <v>4056</v>
      </c>
      <c r="F319">
        <f>4*2</f>
        <v>8</v>
      </c>
      <c r="L319" t="s">
        <v>1630</v>
      </c>
      <c r="M319" s="4" t="s">
        <v>1597</v>
      </c>
    </row>
    <row r="320" spans="3:18" x14ac:dyDescent="0.25">
      <c r="C320" t="s">
        <v>4056</v>
      </c>
      <c r="D320">
        <f>15-3-3-1-1-1</f>
        <v>6</v>
      </c>
      <c r="J320">
        <f>3.5+5+3+2+1</f>
        <v>14.5</v>
      </c>
      <c r="L320" t="s">
        <v>1862</v>
      </c>
      <c r="M320" s="4" t="s">
        <v>2513</v>
      </c>
    </row>
    <row r="321" spans="3:17" x14ac:dyDescent="0.25">
      <c r="C321" t="s">
        <v>4056</v>
      </c>
      <c r="D321">
        <f>-5</f>
        <v>-5</v>
      </c>
      <c r="H321">
        <f>350</f>
        <v>350</v>
      </c>
      <c r="J321">
        <f>J320*0.5</f>
        <v>7.25</v>
      </c>
      <c r="L321" t="s">
        <v>2512</v>
      </c>
      <c r="O321">
        <f>3.5*3*3</f>
        <v>31.5</v>
      </c>
    </row>
    <row r="322" spans="3:17" x14ac:dyDescent="0.25">
      <c r="C322" t="s">
        <v>4056</v>
      </c>
      <c r="D322">
        <f>D320-D321</f>
        <v>11</v>
      </c>
      <c r="H322">
        <f>11-3-4-1-3-3-1-1</f>
        <v>-5</v>
      </c>
      <c r="J322">
        <f>250/J321</f>
        <v>34.482758620689658</v>
      </c>
      <c r="O322">
        <f>3.5*4*5</f>
        <v>70</v>
      </c>
    </row>
    <row r="323" spans="3:17" x14ac:dyDescent="0.25">
      <c r="L323" s="4" t="s">
        <v>1868</v>
      </c>
    </row>
    <row r="324" spans="3:17" x14ac:dyDescent="0.25">
      <c r="F324">
        <f>80*0.5*(2.5+4+3+1)</f>
        <v>420</v>
      </c>
      <c r="L324" s="4" t="s">
        <v>1597</v>
      </c>
    </row>
    <row r="325" spans="3:17" x14ac:dyDescent="0.25">
      <c r="H325">
        <f>0.6*(3.5+3+3+3+5+1)</f>
        <v>11.1</v>
      </c>
      <c r="L325" t="s">
        <v>1869</v>
      </c>
    </row>
    <row r="326" spans="3:17" x14ac:dyDescent="0.25">
      <c r="D326" t="s">
        <v>1238</v>
      </c>
      <c r="H326">
        <f>H325*0.5</f>
        <v>5.55</v>
      </c>
      <c r="L326" t="s">
        <v>2510</v>
      </c>
    </row>
    <row r="327" spans="3:17" x14ac:dyDescent="0.25">
      <c r="D327" t="s">
        <v>1238</v>
      </c>
      <c r="H327">
        <f>H321/H326</f>
        <v>63.063063063063062</v>
      </c>
      <c r="L327" t="s">
        <v>1857</v>
      </c>
      <c r="O327">
        <f>18-2-2-2-3-1-1</f>
        <v>7</v>
      </c>
      <c r="P327">
        <f>(6+3+5+2+1)</f>
        <v>17</v>
      </c>
    </row>
    <row r="328" spans="3:17" x14ac:dyDescent="0.25">
      <c r="D328" t="s">
        <v>1301</v>
      </c>
    </row>
    <row r="329" spans="3:17" x14ac:dyDescent="0.25">
      <c r="D329" t="s">
        <v>100</v>
      </c>
    </row>
    <row r="330" spans="3:17" x14ac:dyDescent="0.25">
      <c r="D330" t="s">
        <v>1819</v>
      </c>
      <c r="N330">
        <f>6+3+5+2</f>
        <v>16</v>
      </c>
    </row>
    <row r="331" spans="3:17" x14ac:dyDescent="0.25">
      <c r="D331" t="s">
        <v>1292</v>
      </c>
      <c r="J331">
        <f>(1+1+1)*(5.5+3+5+4)</f>
        <v>52.5</v>
      </c>
      <c r="L331">
        <f>10*(5.5+3+6+5+1+1)</f>
        <v>215</v>
      </c>
      <c r="N331">
        <f>10+3+2</f>
        <v>15</v>
      </c>
    </row>
    <row r="334" spans="3:17" x14ac:dyDescent="0.25">
      <c r="J334">
        <f>5*(3.5+3+10+4+3+1)</f>
        <v>122.5</v>
      </c>
      <c r="K334">
        <f>9*(2.5+5+5.5+4)</f>
        <v>153</v>
      </c>
      <c r="Q334" t="s">
        <v>1817</v>
      </c>
    </row>
    <row r="335" spans="3:17" x14ac:dyDescent="0.25">
      <c r="C335" t="s">
        <v>1817</v>
      </c>
      <c r="Q335" t="s">
        <v>834</v>
      </c>
    </row>
    <row r="336" spans="3:17" x14ac:dyDescent="0.25">
      <c r="C336" t="s">
        <v>1301</v>
      </c>
      <c r="Q336" t="s">
        <v>4059</v>
      </c>
    </row>
    <row r="337" spans="3:21" x14ac:dyDescent="0.25">
      <c r="C337" t="s">
        <v>2503</v>
      </c>
      <c r="Q337" t="s">
        <v>4060</v>
      </c>
    </row>
    <row r="338" spans="3:21" x14ac:dyDescent="0.25">
      <c r="C338" t="s">
        <v>1819</v>
      </c>
      <c r="E338" s="9"/>
      <c r="F338" s="9"/>
      <c r="G338" s="9"/>
      <c r="H338" s="9"/>
      <c r="I338" s="9"/>
      <c r="J338" s="9"/>
      <c r="K338" s="9"/>
      <c r="L338" s="9"/>
      <c r="M338" s="9"/>
      <c r="N338" s="9"/>
      <c r="O338" s="9" t="s">
        <v>1082</v>
      </c>
      <c r="P338" s="9"/>
    </row>
    <row r="339" spans="3:21" x14ac:dyDescent="0.25">
      <c r="C339" t="s">
        <v>1292</v>
      </c>
      <c r="E339" s="9"/>
      <c r="F339" s="9"/>
      <c r="G339" s="9"/>
      <c r="H339" s="9" t="s">
        <v>2515</v>
      </c>
      <c r="I339" s="9"/>
      <c r="J339" s="9" t="s">
        <v>991</v>
      </c>
      <c r="K339" s="9"/>
      <c r="L339" s="9"/>
      <c r="M339" s="9"/>
      <c r="N339" s="9" t="s">
        <v>992</v>
      </c>
      <c r="O339" s="9" t="s">
        <v>1762</v>
      </c>
      <c r="P339" s="9"/>
      <c r="Q339" t="s">
        <v>1818</v>
      </c>
    </row>
    <row r="340" spans="3:21" x14ac:dyDescent="0.25">
      <c r="E340" s="9" t="s">
        <v>1140</v>
      </c>
      <c r="F340" s="9" t="s">
        <v>797</v>
      </c>
      <c r="G340" s="9"/>
      <c r="H340" s="9" t="s">
        <v>2516</v>
      </c>
      <c r="I340" s="9" t="s">
        <v>815</v>
      </c>
      <c r="J340" s="9"/>
      <c r="K340" s="9"/>
      <c r="L340" s="9"/>
      <c r="M340" s="9"/>
      <c r="N340" s="9"/>
      <c r="O340" s="9" t="s">
        <v>1790</v>
      </c>
      <c r="P340" s="9"/>
      <c r="Q340" t="s">
        <v>840</v>
      </c>
    </row>
    <row r="341" spans="3:21" x14ac:dyDescent="0.25">
      <c r="C341">
        <v>2</v>
      </c>
      <c r="E341" s="9"/>
      <c r="F341" s="9"/>
      <c r="G341" s="9" t="s">
        <v>987</v>
      </c>
      <c r="H341" s="9"/>
      <c r="I341" s="9" t="s">
        <v>1572</v>
      </c>
      <c r="J341" s="9"/>
      <c r="K341" s="9"/>
      <c r="L341" s="9"/>
      <c r="M341" s="9"/>
      <c r="N341" s="9" t="s">
        <v>1143</v>
      </c>
      <c r="O341" s="9"/>
      <c r="P341" s="9"/>
      <c r="Q341" t="s">
        <v>4061</v>
      </c>
    </row>
    <row r="342" spans="3:21" x14ac:dyDescent="0.25">
      <c r="C342">
        <f>-3*9</f>
        <v>-27</v>
      </c>
      <c r="E342" s="9"/>
      <c r="F342" s="9"/>
      <c r="G342" s="9" t="s">
        <v>1757</v>
      </c>
      <c r="H342" s="9" t="s">
        <v>2517</v>
      </c>
      <c r="I342" s="9"/>
      <c r="J342" s="9" t="s">
        <v>1787</v>
      </c>
      <c r="K342" s="9"/>
      <c r="L342" s="9"/>
      <c r="M342" s="9"/>
      <c r="N342" s="9"/>
      <c r="O342" s="9"/>
      <c r="P342" s="9"/>
    </row>
    <row r="343" spans="3:21" x14ac:dyDescent="0.25">
      <c r="C343">
        <f>C341+C342</f>
        <v>-25</v>
      </c>
      <c r="E343" s="9"/>
      <c r="F343" s="9"/>
      <c r="G343" s="9"/>
      <c r="H343" s="9"/>
      <c r="I343" s="9"/>
      <c r="J343" s="9"/>
      <c r="K343" s="9"/>
      <c r="L343" s="9"/>
      <c r="M343" s="9"/>
      <c r="N343" s="9"/>
      <c r="O343" s="9"/>
      <c r="P343" s="9"/>
    </row>
    <row r="344" spans="3:21" x14ac:dyDescent="0.25">
      <c r="E344" s="9">
        <f>3*0.05*(5.5+5+6)</f>
        <v>2.4750000000000005</v>
      </c>
      <c r="F344" s="9"/>
      <c r="G344" s="9"/>
      <c r="H344" s="9"/>
      <c r="I344" s="9"/>
      <c r="J344" s="9"/>
      <c r="K344" s="9"/>
      <c r="L344" s="9">
        <f>5*(3.5+3+14+3.5+1+3)</f>
        <v>140</v>
      </c>
      <c r="M344" s="9"/>
      <c r="N344" s="9"/>
      <c r="O344" s="9"/>
      <c r="P344" s="9"/>
    </row>
    <row r="345" spans="3:21" x14ac:dyDescent="0.25">
      <c r="S345">
        <f>(1+1+1)*(6.5+6.5+5+5+8+2+1)</f>
        <v>102</v>
      </c>
      <c r="T345">
        <f>1-5-3-1-1</f>
        <v>-9</v>
      </c>
    </row>
    <row r="346" spans="3:21" x14ac:dyDescent="0.25">
      <c r="K346">
        <f>10*(3.5+6+5+3+3+1)</f>
        <v>215</v>
      </c>
      <c r="S346">
        <f>(2+1+1)*(5.5+5.5+4+11+2+1)</f>
        <v>116</v>
      </c>
      <c r="T346">
        <f>1-7-4-1-1</f>
        <v>-12</v>
      </c>
    </row>
    <row r="347" spans="3:21" x14ac:dyDescent="0.25">
      <c r="G347">
        <f>5*(3.5+3+3+4+1)</f>
        <v>72.5</v>
      </c>
      <c r="P347">
        <f>1-4-3-20</f>
        <v>-26</v>
      </c>
      <c r="S347">
        <f>(1+1+1+1)*(2.5+3+2+7+1+1)</f>
        <v>66</v>
      </c>
      <c r="U347">
        <f>5.5*3*10</f>
        <v>165</v>
      </c>
    </row>
    <row r="348" spans="3:21" x14ac:dyDescent="0.25">
      <c r="S348">
        <f>(1+1+1+1)*(3.5+3+14+3.5+1+1)</f>
        <v>104</v>
      </c>
    </row>
    <row r="349" spans="3:21" x14ac:dyDescent="0.25">
      <c r="E349">
        <f>4*2*3.5*4</f>
        <v>112</v>
      </c>
      <c r="G349" t="s">
        <v>1644</v>
      </c>
      <c r="I349" t="s">
        <v>1147</v>
      </c>
      <c r="K349" t="s">
        <v>3404</v>
      </c>
      <c r="M349" t="s">
        <v>140</v>
      </c>
      <c r="O349" t="s">
        <v>141</v>
      </c>
      <c r="S349">
        <f>(1+1+1+1+1)*(5.5+3+5+8+1)</f>
        <v>112.5</v>
      </c>
    </row>
    <row r="350" spans="3:21" x14ac:dyDescent="0.25">
      <c r="E350">
        <f>15*3*2</f>
        <v>90</v>
      </c>
      <c r="S350">
        <f>(1+0.5+0.5+1)*(3.5+3+9+1)</f>
        <v>49.5</v>
      </c>
    </row>
    <row r="351" spans="3:21" x14ac:dyDescent="0.25">
      <c r="G351" t="s">
        <v>1238</v>
      </c>
      <c r="I351" t="s">
        <v>1238</v>
      </c>
      <c r="J351" t="s">
        <v>1238</v>
      </c>
      <c r="K351" t="s">
        <v>1238</v>
      </c>
      <c r="M351" t="s">
        <v>1238</v>
      </c>
      <c r="O351" t="s">
        <v>1238</v>
      </c>
      <c r="S351">
        <f>(1+0.5+0.5+1+1)*(3.5+3+14+1)</f>
        <v>86</v>
      </c>
    </row>
    <row r="352" spans="3:21" x14ac:dyDescent="0.25">
      <c r="E352" t="s">
        <v>1238</v>
      </c>
      <c r="G352" t="s">
        <v>1238</v>
      </c>
      <c r="I352" t="s">
        <v>1819</v>
      </c>
      <c r="J352" t="s">
        <v>4054</v>
      </c>
      <c r="K352" t="s">
        <v>2737</v>
      </c>
      <c r="M352" t="s">
        <v>1238</v>
      </c>
      <c r="O352" t="s">
        <v>1238</v>
      </c>
      <c r="R352">
        <f>(1+1+0.5+0.5)*(4.5+3+2+4+1)</f>
        <v>43.5</v>
      </c>
    </row>
    <row r="353" spans="2:19" x14ac:dyDescent="0.25">
      <c r="B353">
        <f>(17*9+3*11)/0.4</f>
        <v>465</v>
      </c>
      <c r="C353">
        <f>8-4-4-3-2-1-1</f>
        <v>-7</v>
      </c>
      <c r="E353" t="s">
        <v>4020</v>
      </c>
      <c r="G353" t="s">
        <v>1238</v>
      </c>
      <c r="J353" t="s">
        <v>4020</v>
      </c>
      <c r="K353" t="s">
        <v>4020</v>
      </c>
      <c r="M353" t="s">
        <v>1491</v>
      </c>
      <c r="O353" t="s">
        <v>1491</v>
      </c>
      <c r="R353">
        <f>(1+0.5+0.5)*(4.5+3+2+1+1)</f>
        <v>23</v>
      </c>
    </row>
    <row r="354" spans="2:19" x14ac:dyDescent="0.25">
      <c r="E354" t="s">
        <v>1819</v>
      </c>
      <c r="G354" t="s">
        <v>1819</v>
      </c>
      <c r="I354">
        <f>104/12</f>
        <v>8.6666666666666661</v>
      </c>
      <c r="J354" t="s">
        <v>4063</v>
      </c>
      <c r="K354" t="s">
        <v>4062</v>
      </c>
      <c r="M354" t="s">
        <v>2118</v>
      </c>
      <c r="O354" t="s">
        <v>2118</v>
      </c>
      <c r="R354">
        <f>(1+1+0.5+1)*(3.5+3+7+5)</f>
        <v>64.75</v>
      </c>
      <c r="S354">
        <f>(1+1+0.5+1+1)*(3.5+5+8+5+2)</f>
        <v>105.75</v>
      </c>
    </row>
    <row r="355" spans="2:19" x14ac:dyDescent="0.25">
      <c r="B355">
        <f>(1+1+0.5+1+1)*(4.5+3+2+11+1)</f>
        <v>96.75</v>
      </c>
      <c r="E355" t="s">
        <v>1292</v>
      </c>
      <c r="G355" t="s">
        <v>1292</v>
      </c>
      <c r="J355" t="s">
        <v>4064</v>
      </c>
      <c r="M355" t="s">
        <v>4081</v>
      </c>
      <c r="O355" t="s">
        <v>4081</v>
      </c>
    </row>
    <row r="356" spans="2:19" x14ac:dyDescent="0.25">
      <c r="G356" t="s">
        <v>4081</v>
      </c>
      <c r="J356" t="s">
        <v>4065</v>
      </c>
      <c r="M356" t="s">
        <v>1292</v>
      </c>
      <c r="O356" t="s">
        <v>1292</v>
      </c>
    </row>
    <row r="357" spans="2:19" x14ac:dyDescent="0.25">
      <c r="C357">
        <f>(1+1+0.5+1+1)*(5.5+3+2+5+1)</f>
        <v>74.25</v>
      </c>
    </row>
    <row r="358" spans="2:19" x14ac:dyDescent="0.25">
      <c r="K358">
        <f>10*(2.5+5+1)</f>
        <v>85</v>
      </c>
    </row>
    <row r="359" spans="2:19" x14ac:dyDescent="0.25">
      <c r="M359">
        <f>4+10*2</f>
        <v>24</v>
      </c>
      <c r="O359" t="s">
        <v>4080</v>
      </c>
    </row>
    <row r="360" spans="2:19" x14ac:dyDescent="0.25">
      <c r="E360" t="s">
        <v>1238</v>
      </c>
      <c r="F360">
        <f>20*(2.5+5+1)</f>
        <v>170</v>
      </c>
      <c r="G360">
        <f>3*(6.5+6.5+5+1)</f>
        <v>57</v>
      </c>
      <c r="I360">
        <f>(1+0.5+0.5+0.5+1)*(3.5+3+5+5+3+1)</f>
        <v>71.75</v>
      </c>
      <c r="M360">
        <f>5*-3</f>
        <v>-15</v>
      </c>
      <c r="O360" t="s">
        <v>4079</v>
      </c>
    </row>
    <row r="361" spans="2:19" x14ac:dyDescent="0.25">
      <c r="E361" t="s">
        <v>1238</v>
      </c>
      <c r="F361">
        <f>20*(2.5+5+1)</f>
        <v>170</v>
      </c>
      <c r="G361">
        <f>3*(6.5+6.5+5+1)</f>
        <v>57</v>
      </c>
      <c r="I361">
        <f>(1+1+0.5+1)*(3.5+3+14+1)</f>
        <v>75.25</v>
      </c>
      <c r="J361">
        <f>4*(10.5+4+8+1)</f>
        <v>94</v>
      </c>
      <c r="L361">
        <f>5*(9+4+14+1)</f>
        <v>140</v>
      </c>
      <c r="O361" t="s">
        <v>4075</v>
      </c>
    </row>
    <row r="362" spans="2:19" x14ac:dyDescent="0.25">
      <c r="E362" t="s">
        <v>1491</v>
      </c>
      <c r="F362">
        <f>(2+1+1)*(5.5+5.5+4+11+1)</f>
        <v>108</v>
      </c>
      <c r="G362">
        <f>(2+1+1)*(5.5+5.5+4+11+1)</f>
        <v>108</v>
      </c>
      <c r="H362">
        <f>(2+1+1)*(5.5+5.5+4+11+1)</f>
        <v>108</v>
      </c>
      <c r="L362">
        <f>L361*5</f>
        <v>700</v>
      </c>
      <c r="O362" t="s">
        <v>4076</v>
      </c>
    </row>
    <row r="363" spans="2:19" x14ac:dyDescent="0.25">
      <c r="E363" t="s">
        <v>2118</v>
      </c>
      <c r="F363">
        <f>5*(3.5+5+8+1+5)</f>
        <v>112.5</v>
      </c>
      <c r="G363">
        <f>5*(3.5+5+8+1+5)</f>
        <v>112.5</v>
      </c>
      <c r="H363">
        <f>5*(3.5+5+8+1+5)</f>
        <v>112.5</v>
      </c>
      <c r="O363" t="s">
        <v>4077</v>
      </c>
    </row>
    <row r="364" spans="2:19" x14ac:dyDescent="0.25">
      <c r="E364" t="s">
        <v>4081</v>
      </c>
      <c r="F364">
        <f>5*(3.5+3+14+3.5/2+3+1)</f>
        <v>131.25</v>
      </c>
      <c r="G364">
        <f>5*(3.5+3+14+3.5/2+3+1)</f>
        <v>131.25</v>
      </c>
      <c r="O364" t="s">
        <v>4078</v>
      </c>
    </row>
    <row r="365" spans="2:19" x14ac:dyDescent="0.25">
      <c r="E365" t="s">
        <v>2503</v>
      </c>
      <c r="G365">
        <f>SUM(G360:G364)</f>
        <v>465.75</v>
      </c>
      <c r="H365">
        <f>SUM(H360:H364)</f>
        <v>220.5</v>
      </c>
      <c r="K365" t="s">
        <v>1508</v>
      </c>
      <c r="L365" t="s">
        <v>4066</v>
      </c>
      <c r="M365" t="s">
        <v>4067</v>
      </c>
    </row>
    <row r="366" spans="2:19" x14ac:dyDescent="0.25">
      <c r="C366">
        <f>100+2*15</f>
        <v>130</v>
      </c>
      <c r="G366">
        <f>2000/G365</f>
        <v>4.294149221685454</v>
      </c>
      <c r="H366">
        <f>5000/H365</f>
        <v>22.675736961451246</v>
      </c>
      <c r="J366" t="s">
        <v>658</v>
      </c>
      <c r="K366">
        <v>6</v>
      </c>
      <c r="L366">
        <v>7</v>
      </c>
      <c r="M366">
        <v>7</v>
      </c>
    </row>
    <row r="368" spans="2:19" x14ac:dyDescent="0.25">
      <c r="J368" t="s">
        <v>4068</v>
      </c>
      <c r="K368">
        <v>5</v>
      </c>
      <c r="L368">
        <v>6</v>
      </c>
      <c r="M368">
        <v>6</v>
      </c>
      <c r="N368">
        <f t="shared" ref="N368:N373" si="5">SUM(K368:M368)</f>
        <v>17</v>
      </c>
      <c r="R368">
        <f>75*6</f>
        <v>450</v>
      </c>
    </row>
    <row r="369" spans="3:19" x14ac:dyDescent="0.25">
      <c r="J369" t="s">
        <v>4069</v>
      </c>
      <c r="K369">
        <v>4</v>
      </c>
      <c r="L369">
        <v>5</v>
      </c>
      <c r="M369">
        <v>5</v>
      </c>
      <c r="N369">
        <f t="shared" si="5"/>
        <v>14</v>
      </c>
      <c r="P369">
        <f>1-3-10-3-1-1-1</f>
        <v>-18</v>
      </c>
    </row>
    <row r="370" spans="3:19" x14ac:dyDescent="0.25">
      <c r="J370" t="s">
        <v>4070</v>
      </c>
      <c r="K370">
        <v>3</v>
      </c>
      <c r="L370">
        <v>4</v>
      </c>
      <c r="M370">
        <v>4</v>
      </c>
      <c r="N370">
        <f t="shared" si="5"/>
        <v>11</v>
      </c>
    </row>
    <row r="371" spans="3:19" x14ac:dyDescent="0.25">
      <c r="C371">
        <f>1-5-1-4-4-4-4-2</f>
        <v>-23</v>
      </c>
      <c r="J371" t="s">
        <v>4071</v>
      </c>
      <c r="K371">
        <v>2</v>
      </c>
      <c r="L371">
        <v>3</v>
      </c>
      <c r="M371">
        <v>3</v>
      </c>
      <c r="N371">
        <f t="shared" si="5"/>
        <v>8</v>
      </c>
      <c r="S371">
        <f>20*(3*5+3*7)</f>
        <v>720</v>
      </c>
    </row>
    <row r="372" spans="3:19" x14ac:dyDescent="0.25">
      <c r="E372">
        <f>7*4</f>
        <v>28</v>
      </c>
      <c r="F372">
        <f>(5.5+5.5+4+11)</f>
        <v>26</v>
      </c>
      <c r="G372">
        <f>(3.5+5+5+8+2+2+1)*5</f>
        <v>132.5</v>
      </c>
      <c r="J372" t="s">
        <v>4072</v>
      </c>
      <c r="K372">
        <v>1</v>
      </c>
      <c r="L372">
        <v>2</v>
      </c>
      <c r="M372">
        <v>2</v>
      </c>
      <c r="N372">
        <f t="shared" si="5"/>
        <v>5</v>
      </c>
    </row>
    <row r="373" spans="3:19" x14ac:dyDescent="0.25">
      <c r="E373">
        <f>500/E372</f>
        <v>17.857142857142858</v>
      </c>
      <c r="F373">
        <f>7/F372</f>
        <v>0.26923076923076922</v>
      </c>
      <c r="G373">
        <f>G372*0.25</f>
        <v>33.125</v>
      </c>
      <c r="J373" t="s">
        <v>4073</v>
      </c>
      <c r="L373">
        <v>1</v>
      </c>
      <c r="M373">
        <v>1</v>
      </c>
      <c r="N373">
        <f t="shared" si="5"/>
        <v>2</v>
      </c>
      <c r="Q373">
        <f>1-3-10-3-1-1-1</f>
        <v>-18</v>
      </c>
    </row>
    <row r="374" spans="3:19" x14ac:dyDescent="0.25">
      <c r="G374">
        <f>(2+1+1)*(5.5+5.5+4+11+1)</f>
        <v>108</v>
      </c>
      <c r="J374" t="s">
        <v>4074</v>
      </c>
      <c r="N374">
        <f>SUM(N368:N373)</f>
        <v>57</v>
      </c>
    </row>
    <row r="375" spans="3:19" x14ac:dyDescent="0.25">
      <c r="G375">
        <f>G374*0.25</f>
        <v>27</v>
      </c>
    </row>
    <row r="376" spans="3:19" x14ac:dyDescent="0.25">
      <c r="G376">
        <f>500/(G373+G375)</f>
        <v>8.3160083160083165</v>
      </c>
      <c r="Q376">
        <f>5*(3.5+3+3+14+1)</f>
        <v>122.5</v>
      </c>
    </row>
    <row r="377" spans="3:19" x14ac:dyDescent="0.25">
      <c r="O377">
        <v>-14</v>
      </c>
    </row>
    <row r="378" spans="3:19" x14ac:dyDescent="0.25">
      <c r="J378">
        <f>5*(3.5+3+14+3.5+1+4)</f>
        <v>145</v>
      </c>
      <c r="O378">
        <f>1-10-2-1-1-2</f>
        <v>-15</v>
      </c>
    </row>
    <row r="380" spans="3:19" x14ac:dyDescent="0.25">
      <c r="I380">
        <f>11*14</f>
        <v>154</v>
      </c>
      <c r="L380">
        <f>5*(10+3.5+3+14+1+3.5)</f>
        <v>175</v>
      </c>
    </row>
    <row r="381" spans="3:19" x14ac:dyDescent="0.25">
      <c r="F381">
        <f>(1+0.5+1)*(3.5+3+5+5+3+1)</f>
        <v>51.25</v>
      </c>
    </row>
    <row r="382" spans="3:19" x14ac:dyDescent="0.25">
      <c r="G382">
        <f>10-2-4-3-1-2-3</f>
        <v>-5</v>
      </c>
      <c r="N382">
        <v>9</v>
      </c>
    </row>
    <row r="383" spans="3:19" x14ac:dyDescent="0.25">
      <c r="N383">
        <v>12</v>
      </c>
    </row>
    <row r="384" spans="3:19" x14ac:dyDescent="0.25">
      <c r="K384">
        <f>10*(2.5+5+5.5+3+1)</f>
        <v>170</v>
      </c>
      <c r="N384">
        <v>15</v>
      </c>
    </row>
    <row r="386" spans="6:15" x14ac:dyDescent="0.25">
      <c r="F386">
        <v>1</v>
      </c>
      <c r="G386" t="s">
        <v>3102</v>
      </c>
    </row>
    <row r="387" spans="6:15" x14ac:dyDescent="0.25">
      <c r="F387">
        <v>1</v>
      </c>
      <c r="G387" t="s">
        <v>4024</v>
      </c>
    </row>
    <row r="388" spans="6:15" x14ac:dyDescent="0.25">
      <c r="F388">
        <v>1</v>
      </c>
      <c r="G388" t="s">
        <v>1228</v>
      </c>
      <c r="K388" t="s">
        <v>627</v>
      </c>
      <c r="M388" t="s">
        <v>3994</v>
      </c>
      <c r="O388" t="s">
        <v>3996</v>
      </c>
    </row>
    <row r="389" spans="6:15" x14ac:dyDescent="0.25">
      <c r="F389">
        <v>1</v>
      </c>
      <c r="G389" t="s">
        <v>2321</v>
      </c>
      <c r="J389">
        <v>1</v>
      </c>
      <c r="K389" t="s">
        <v>3102</v>
      </c>
      <c r="M389" t="s">
        <v>3102</v>
      </c>
      <c r="O389" t="s">
        <v>4041</v>
      </c>
    </row>
    <row r="390" spans="6:15" x14ac:dyDescent="0.25">
      <c r="F390">
        <v>1</v>
      </c>
      <c r="G390" t="s">
        <v>2454</v>
      </c>
      <c r="J390">
        <v>1</v>
      </c>
      <c r="K390" t="s">
        <v>4024</v>
      </c>
      <c r="O390" t="s">
        <v>4011</v>
      </c>
    </row>
    <row r="391" spans="6:15" x14ac:dyDescent="0.25">
      <c r="F391">
        <v>1</v>
      </c>
      <c r="G391" t="s">
        <v>1952</v>
      </c>
      <c r="J391">
        <v>3</v>
      </c>
      <c r="K391" t="s">
        <v>2321</v>
      </c>
      <c r="O391" t="s">
        <v>4008</v>
      </c>
    </row>
    <row r="392" spans="6:15" x14ac:dyDescent="0.25">
      <c r="F392">
        <v>2</v>
      </c>
      <c r="G392" t="s">
        <v>1054</v>
      </c>
      <c r="J392">
        <v>5</v>
      </c>
      <c r="K392" t="s">
        <v>2454</v>
      </c>
      <c r="M392" t="s">
        <v>2321</v>
      </c>
    </row>
    <row r="393" spans="6:15" x14ac:dyDescent="0.25">
      <c r="F393">
        <v>2</v>
      </c>
      <c r="G393" t="s">
        <v>3106</v>
      </c>
      <c r="J393">
        <v>7</v>
      </c>
    </row>
    <row r="394" spans="6:15" x14ac:dyDescent="0.25">
      <c r="F394">
        <v>2</v>
      </c>
      <c r="G394" t="s">
        <v>2920</v>
      </c>
    </row>
    <row r="395" spans="6:15" x14ac:dyDescent="0.25">
      <c r="F395">
        <v>2</v>
      </c>
      <c r="G395" t="s">
        <v>4021</v>
      </c>
      <c r="J395">
        <v>4</v>
      </c>
      <c r="K395" t="s">
        <v>2416</v>
      </c>
      <c r="M395" t="s">
        <v>2416</v>
      </c>
    </row>
    <row r="396" spans="6:15" x14ac:dyDescent="0.25">
      <c r="F396">
        <v>2</v>
      </c>
      <c r="G396" t="s">
        <v>3107</v>
      </c>
      <c r="J396">
        <v>5</v>
      </c>
      <c r="K396" t="s">
        <v>3106</v>
      </c>
      <c r="M396" t="s">
        <v>2920</v>
      </c>
    </row>
    <row r="397" spans="6:15" x14ac:dyDescent="0.25">
      <c r="F397">
        <v>2</v>
      </c>
      <c r="G397" t="s">
        <v>2416</v>
      </c>
      <c r="J397">
        <v>7</v>
      </c>
      <c r="K397" t="s">
        <v>3107</v>
      </c>
      <c r="M397" t="s">
        <v>3107</v>
      </c>
    </row>
    <row r="398" spans="6:15" x14ac:dyDescent="0.25">
      <c r="F398">
        <v>3</v>
      </c>
      <c r="G398" t="s">
        <v>4022</v>
      </c>
      <c r="J398">
        <v>9</v>
      </c>
      <c r="K398" t="s">
        <v>1054</v>
      </c>
      <c r="M398" t="s">
        <v>1054</v>
      </c>
    </row>
    <row r="399" spans="6:15" x14ac:dyDescent="0.25">
      <c r="F399">
        <v>3</v>
      </c>
      <c r="G399" t="s">
        <v>4023</v>
      </c>
      <c r="J399">
        <v>11</v>
      </c>
    </row>
    <row r="400" spans="6:15" x14ac:dyDescent="0.25">
      <c r="F400">
        <v>3</v>
      </c>
      <c r="G400" t="s">
        <v>2353</v>
      </c>
    </row>
    <row r="401" spans="6:13" x14ac:dyDescent="0.25">
      <c r="F401">
        <v>3</v>
      </c>
      <c r="G401" t="s">
        <v>3999</v>
      </c>
      <c r="J401">
        <v>6</v>
      </c>
      <c r="K401" t="s">
        <v>2326</v>
      </c>
    </row>
    <row r="402" spans="6:13" x14ac:dyDescent="0.25">
      <c r="F402">
        <v>3</v>
      </c>
      <c r="G402" t="s">
        <v>4029</v>
      </c>
      <c r="J402">
        <v>7</v>
      </c>
      <c r="K402" t="s">
        <v>3999</v>
      </c>
      <c r="M402" t="s">
        <v>3100</v>
      </c>
    </row>
    <row r="403" spans="6:13" x14ac:dyDescent="0.25">
      <c r="F403">
        <v>4</v>
      </c>
      <c r="G403" t="s">
        <v>1341</v>
      </c>
      <c r="J403">
        <v>9</v>
      </c>
      <c r="K403" t="s">
        <v>4029</v>
      </c>
    </row>
    <row r="404" spans="6:13" x14ac:dyDescent="0.25">
      <c r="F404">
        <v>4</v>
      </c>
      <c r="G404" t="s">
        <v>2923</v>
      </c>
      <c r="J404">
        <v>11</v>
      </c>
      <c r="K404" t="s">
        <v>2353</v>
      </c>
    </row>
    <row r="405" spans="6:13" x14ac:dyDescent="0.25">
      <c r="F405">
        <v>4</v>
      </c>
      <c r="G405" t="s">
        <v>1948</v>
      </c>
      <c r="J405">
        <v>22</v>
      </c>
    </row>
    <row r="406" spans="6:13" x14ac:dyDescent="0.25">
      <c r="F406">
        <v>4</v>
      </c>
      <c r="G406" t="s">
        <v>4025</v>
      </c>
    </row>
    <row r="407" spans="6:13" x14ac:dyDescent="0.25">
      <c r="F407">
        <v>4</v>
      </c>
      <c r="G407" t="s">
        <v>3997</v>
      </c>
      <c r="J407">
        <v>8</v>
      </c>
      <c r="K407" t="s">
        <v>1341</v>
      </c>
      <c r="M407" t="s">
        <v>4026</v>
      </c>
    </row>
    <row r="408" spans="6:13" x14ac:dyDescent="0.25">
      <c r="F408">
        <v>4</v>
      </c>
      <c r="G408" t="s">
        <v>4026</v>
      </c>
      <c r="J408">
        <v>9</v>
      </c>
      <c r="K408" t="s">
        <v>4025</v>
      </c>
      <c r="M408" t="s">
        <v>1341</v>
      </c>
    </row>
    <row r="409" spans="6:13" x14ac:dyDescent="0.25">
      <c r="F409">
        <v>4</v>
      </c>
      <c r="G409" t="s">
        <v>4003</v>
      </c>
      <c r="J409">
        <v>11</v>
      </c>
      <c r="K409" t="s">
        <v>3997</v>
      </c>
      <c r="M409" t="s">
        <v>4046</v>
      </c>
    </row>
    <row r="410" spans="6:13" x14ac:dyDescent="0.25">
      <c r="F410">
        <v>5</v>
      </c>
      <c r="G410" t="s">
        <v>4027</v>
      </c>
      <c r="J410">
        <v>13</v>
      </c>
    </row>
    <row r="411" spans="6:13" x14ac:dyDescent="0.25">
      <c r="F411">
        <v>5</v>
      </c>
      <c r="G411" t="s">
        <v>4004</v>
      </c>
      <c r="J411">
        <v>23</v>
      </c>
    </row>
    <row r="412" spans="6:13" x14ac:dyDescent="0.25">
      <c r="F412">
        <v>5</v>
      </c>
      <c r="G412" t="s">
        <v>2404</v>
      </c>
    </row>
    <row r="413" spans="6:13" x14ac:dyDescent="0.25">
      <c r="F413">
        <v>5</v>
      </c>
      <c r="G413" t="s">
        <v>1342</v>
      </c>
      <c r="J413">
        <v>10</v>
      </c>
      <c r="K413" t="s">
        <v>4027</v>
      </c>
      <c r="M413" t="s">
        <v>2404</v>
      </c>
    </row>
    <row r="414" spans="6:13" x14ac:dyDescent="0.25">
      <c r="F414">
        <v>5</v>
      </c>
      <c r="G414" t="s">
        <v>4028</v>
      </c>
      <c r="J414">
        <v>11</v>
      </c>
      <c r="K414" t="s">
        <v>1342</v>
      </c>
      <c r="M414" t="s">
        <v>4027</v>
      </c>
    </row>
    <row r="415" spans="6:13" x14ac:dyDescent="0.25">
      <c r="F415">
        <v>5</v>
      </c>
      <c r="G415" t="s">
        <v>4030</v>
      </c>
      <c r="J415" s="9">
        <v>13</v>
      </c>
      <c r="M415" t="s">
        <v>4004</v>
      </c>
    </row>
    <row r="416" spans="6:13" x14ac:dyDescent="0.25">
      <c r="F416">
        <v>6</v>
      </c>
      <c r="G416" t="s">
        <v>3998</v>
      </c>
      <c r="J416" s="9">
        <v>15</v>
      </c>
    </row>
    <row r="417" spans="6:15" x14ac:dyDescent="0.25">
      <c r="F417">
        <v>6</v>
      </c>
      <c r="G417" t="s">
        <v>4031</v>
      </c>
      <c r="J417" s="9"/>
    </row>
    <row r="418" spans="6:15" x14ac:dyDescent="0.25">
      <c r="F418">
        <v>6</v>
      </c>
      <c r="G418" t="s">
        <v>1695</v>
      </c>
      <c r="J418" s="9">
        <v>12</v>
      </c>
      <c r="K418" t="s">
        <v>681</v>
      </c>
      <c r="M418" t="s">
        <v>681</v>
      </c>
    </row>
    <row r="419" spans="6:15" x14ac:dyDescent="0.25">
      <c r="F419">
        <v>6</v>
      </c>
      <c r="G419" t="s">
        <v>681</v>
      </c>
      <c r="J419" s="9">
        <v>13</v>
      </c>
      <c r="K419" s="9" t="s">
        <v>3998</v>
      </c>
      <c r="L419" s="9"/>
      <c r="M419" t="s">
        <v>305</v>
      </c>
      <c r="O419" s="9"/>
    </row>
    <row r="420" spans="6:15" x14ac:dyDescent="0.25">
      <c r="F420">
        <v>6</v>
      </c>
      <c r="G420" t="s">
        <v>305</v>
      </c>
      <c r="J420" s="9">
        <v>15</v>
      </c>
      <c r="K420" s="9" t="s">
        <v>1695</v>
      </c>
      <c r="L420" s="9"/>
      <c r="M420" s="9" t="s">
        <v>1695</v>
      </c>
    </row>
    <row r="421" spans="6:15" x14ac:dyDescent="0.25">
      <c r="F421">
        <v>6</v>
      </c>
      <c r="G421" t="s">
        <v>4032</v>
      </c>
      <c r="J421" s="9">
        <v>21</v>
      </c>
    </row>
    <row r="422" spans="6:15" x14ac:dyDescent="0.25">
      <c r="F422">
        <v>7</v>
      </c>
      <c r="G422" t="s">
        <v>4033</v>
      </c>
    </row>
    <row r="423" spans="6:15" x14ac:dyDescent="0.25">
      <c r="F423">
        <v>7</v>
      </c>
      <c r="G423" t="s">
        <v>4034</v>
      </c>
      <c r="J423" s="9">
        <v>14</v>
      </c>
      <c r="K423" t="s">
        <v>4033</v>
      </c>
    </row>
    <row r="424" spans="6:15" x14ac:dyDescent="0.25">
      <c r="F424">
        <v>7</v>
      </c>
      <c r="G424" t="s">
        <v>1057</v>
      </c>
      <c r="J424" s="9">
        <v>15</v>
      </c>
    </row>
    <row r="425" spans="6:15" x14ac:dyDescent="0.25">
      <c r="F425">
        <v>7</v>
      </c>
      <c r="G425" t="s">
        <v>4035</v>
      </c>
      <c r="J425" s="9">
        <v>17</v>
      </c>
      <c r="K425" t="s">
        <v>1057</v>
      </c>
      <c r="M425" t="s">
        <v>1057</v>
      </c>
    </row>
    <row r="426" spans="6:15" x14ac:dyDescent="0.25">
      <c r="F426">
        <v>7</v>
      </c>
      <c r="G426" t="s">
        <v>4036</v>
      </c>
      <c r="J426" s="9">
        <v>22</v>
      </c>
      <c r="K426" t="s">
        <v>1921</v>
      </c>
      <c r="M426" t="s">
        <v>1921</v>
      </c>
    </row>
    <row r="427" spans="6:15" x14ac:dyDescent="0.25">
      <c r="F427">
        <v>7</v>
      </c>
      <c r="G427" t="s">
        <v>1656</v>
      </c>
    </row>
    <row r="428" spans="6:15" x14ac:dyDescent="0.25">
      <c r="F428">
        <v>7</v>
      </c>
      <c r="G428" t="s">
        <v>1056</v>
      </c>
      <c r="J428" s="9">
        <v>16</v>
      </c>
      <c r="K428" t="s">
        <v>4040</v>
      </c>
      <c r="M428" t="s">
        <v>4039</v>
      </c>
    </row>
    <row r="429" spans="6:15" x14ac:dyDescent="0.25">
      <c r="F429">
        <v>7</v>
      </c>
      <c r="G429" t="s">
        <v>4037</v>
      </c>
      <c r="J429" s="9">
        <v>17</v>
      </c>
      <c r="K429" t="s">
        <v>4039</v>
      </c>
      <c r="M429" t="s">
        <v>4040</v>
      </c>
    </row>
    <row r="430" spans="6:15" x14ac:dyDescent="0.25">
      <c r="F430">
        <v>8</v>
      </c>
      <c r="G430" t="s">
        <v>4038</v>
      </c>
      <c r="J430" s="9">
        <v>19</v>
      </c>
      <c r="M430" t="s">
        <v>864</v>
      </c>
    </row>
    <row r="431" spans="6:15" x14ac:dyDescent="0.25">
      <c r="F431">
        <v>8</v>
      </c>
      <c r="G431" t="s">
        <v>4039</v>
      </c>
      <c r="J431" s="9">
        <v>23</v>
      </c>
    </row>
    <row r="432" spans="6:15" x14ac:dyDescent="0.25">
      <c r="F432">
        <v>8</v>
      </c>
      <c r="G432" t="s">
        <v>4040</v>
      </c>
    </row>
    <row r="433" spans="6:15" x14ac:dyDescent="0.25">
      <c r="F433">
        <v>8</v>
      </c>
      <c r="G433" t="s">
        <v>2466</v>
      </c>
      <c r="J433" s="9">
        <v>18</v>
      </c>
      <c r="K433" t="s">
        <v>4009</v>
      </c>
      <c r="M433" t="s">
        <v>1653</v>
      </c>
    </row>
    <row r="434" spans="6:15" x14ac:dyDescent="0.25">
      <c r="F434">
        <v>8</v>
      </c>
      <c r="G434" t="s">
        <v>1614</v>
      </c>
      <c r="J434" s="9">
        <v>19</v>
      </c>
      <c r="K434" t="s">
        <v>4007</v>
      </c>
      <c r="M434" t="s">
        <v>4005</v>
      </c>
    </row>
    <row r="435" spans="6:15" x14ac:dyDescent="0.25">
      <c r="F435">
        <v>8</v>
      </c>
      <c r="G435" t="s">
        <v>4042</v>
      </c>
      <c r="J435" s="9">
        <v>20</v>
      </c>
      <c r="O435" s="9"/>
    </row>
    <row r="436" spans="6:15" x14ac:dyDescent="0.25">
      <c r="F436">
        <v>9</v>
      </c>
      <c r="G436" t="s">
        <v>1928</v>
      </c>
      <c r="J436" s="9">
        <v>25</v>
      </c>
    </row>
    <row r="437" spans="6:15" x14ac:dyDescent="0.25">
      <c r="F437">
        <v>9</v>
      </c>
      <c r="G437" t="s">
        <v>4007</v>
      </c>
    </row>
    <row r="438" spans="6:15" x14ac:dyDescent="0.25">
      <c r="F438">
        <v>9</v>
      </c>
      <c r="G438" t="s">
        <v>1905</v>
      </c>
    </row>
    <row r="439" spans="6:15" x14ac:dyDescent="0.25">
      <c r="F439">
        <v>9</v>
      </c>
      <c r="G439" t="s">
        <v>4043</v>
      </c>
    </row>
    <row r="440" spans="6:15" x14ac:dyDescent="0.25">
      <c r="F440">
        <v>9</v>
      </c>
      <c r="G440" t="s">
        <v>4005</v>
      </c>
      <c r="K440" t="s">
        <v>1819</v>
      </c>
    </row>
    <row r="441" spans="6:15" x14ac:dyDescent="0.25">
      <c r="F441">
        <v>9</v>
      </c>
      <c r="G441" t="s">
        <v>1653</v>
      </c>
      <c r="K441" t="s">
        <v>1238</v>
      </c>
    </row>
    <row r="442" spans="6:15" x14ac:dyDescent="0.25">
      <c r="F442">
        <v>9</v>
      </c>
      <c r="G442" t="s">
        <v>4009</v>
      </c>
      <c r="K442" t="s">
        <v>4081</v>
      </c>
      <c r="M442" t="s">
        <v>4083</v>
      </c>
      <c r="N442">
        <f>(1+0.5+0.5+0.5+1+0.5)*(3.5+10+3+3+5+1+1)</f>
        <v>106</v>
      </c>
    </row>
    <row r="443" spans="6:15" x14ac:dyDescent="0.25">
      <c r="F443">
        <v>9</v>
      </c>
      <c r="G443" t="s">
        <v>4044</v>
      </c>
      <c r="K443" t="s">
        <v>4081</v>
      </c>
      <c r="M443" t="s">
        <v>4082</v>
      </c>
      <c r="N443">
        <f>(2.5+0.5+0.5+0.5+1)</f>
        <v>5</v>
      </c>
    </row>
    <row r="444" spans="6:15" x14ac:dyDescent="0.25">
      <c r="F444">
        <v>9</v>
      </c>
      <c r="G444" t="s">
        <v>1931</v>
      </c>
      <c r="N444">
        <f>(1.5+1+0.5+1)</f>
        <v>4</v>
      </c>
    </row>
    <row r="445" spans="6:15" x14ac:dyDescent="0.25">
      <c r="F445">
        <v>9</v>
      </c>
      <c r="G445" t="s">
        <v>4006</v>
      </c>
      <c r="K445" s="4"/>
      <c r="M445" s="1"/>
    </row>
    <row r="446" spans="6:15" x14ac:dyDescent="0.25">
      <c r="F446">
        <v>9</v>
      </c>
      <c r="G446" t="s">
        <v>866</v>
      </c>
      <c r="K446" s="4"/>
      <c r="M446" s="4"/>
    </row>
    <row r="447" spans="6:15" x14ac:dyDescent="0.25">
      <c r="M447" s="4"/>
    </row>
    <row r="448" spans="6:15" x14ac:dyDescent="0.25">
      <c r="K448" s="4"/>
      <c r="L448" s="1"/>
      <c r="M448" s="1"/>
    </row>
    <row r="449" spans="6:13" x14ac:dyDescent="0.25">
      <c r="F449" s="9"/>
      <c r="H449" s="9"/>
      <c r="J449" s="9"/>
      <c r="K449" s="4"/>
      <c r="M449" s="1"/>
    </row>
    <row r="450" spans="6:13" x14ac:dyDescent="0.25">
      <c r="F450" s="9"/>
      <c r="K450" s="4"/>
      <c r="L450" s="4"/>
      <c r="M450" s="1"/>
    </row>
    <row r="451" spans="6:13" x14ac:dyDescent="0.25">
      <c r="F451" s="9"/>
      <c r="J451" s="9"/>
      <c r="K451" s="4"/>
      <c r="M451" s="1"/>
    </row>
    <row r="452" spans="6:13" x14ac:dyDescent="0.25">
      <c r="J452" s="9"/>
      <c r="M452" s="1"/>
    </row>
    <row r="453" spans="6:13" x14ac:dyDescent="0.25">
      <c r="H453" s="9"/>
      <c r="J453" s="9"/>
      <c r="L453" s="4"/>
      <c r="M453" s="4"/>
    </row>
  </sheetData>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B2:T111"/>
  <sheetViews>
    <sheetView tabSelected="1" topLeftCell="A34" workbookViewId="0">
      <selection activeCell="K37" sqref="K37"/>
    </sheetView>
  </sheetViews>
  <sheetFormatPr defaultRowHeight="15" x14ac:dyDescent="0.25"/>
  <sheetData>
    <row r="2" spans="2:16" x14ac:dyDescent="0.25">
      <c r="B2" s="9" t="s">
        <v>1078</v>
      </c>
      <c r="C2" s="9" t="s">
        <v>1801</v>
      </c>
      <c r="D2" s="9" t="s">
        <v>1598</v>
      </c>
      <c r="E2" s="9" t="s">
        <v>617</v>
      </c>
      <c r="F2" s="9" t="s">
        <v>618</v>
      </c>
      <c r="G2" s="9" t="s">
        <v>619</v>
      </c>
      <c r="H2" s="9" t="s">
        <v>1807</v>
      </c>
      <c r="I2" s="9" t="s">
        <v>31</v>
      </c>
      <c r="J2" s="9" t="s">
        <v>2441</v>
      </c>
      <c r="K2" s="9" t="s">
        <v>512</v>
      </c>
      <c r="L2" s="9" t="s">
        <v>1082</v>
      </c>
      <c r="M2" s="9" t="s">
        <v>1674</v>
      </c>
    </row>
    <row r="3" spans="2:16" x14ac:dyDescent="0.25">
      <c r="B3" s="9" t="s">
        <v>819</v>
      </c>
      <c r="C3" s="9" t="s">
        <v>1756</v>
      </c>
      <c r="D3" s="9" t="s">
        <v>1761</v>
      </c>
      <c r="E3" s="9" t="s">
        <v>2515</v>
      </c>
      <c r="F3" s="9" t="s">
        <v>990</v>
      </c>
      <c r="G3" s="9" t="s">
        <v>991</v>
      </c>
      <c r="H3" s="9" t="s">
        <v>1556</v>
      </c>
      <c r="I3" s="9"/>
      <c r="J3" s="9"/>
      <c r="K3" s="9" t="s">
        <v>992</v>
      </c>
      <c r="L3" s="9" t="s">
        <v>1762</v>
      </c>
      <c r="M3" s="9"/>
    </row>
    <row r="4" spans="2:16" x14ac:dyDescent="0.25">
      <c r="B4" s="9" t="s">
        <v>1140</v>
      </c>
      <c r="C4" s="9" t="s">
        <v>797</v>
      </c>
      <c r="D4" s="9" t="s">
        <v>1795</v>
      </c>
      <c r="E4" s="9" t="s">
        <v>2516</v>
      </c>
      <c r="F4" s="9" t="s">
        <v>815</v>
      </c>
      <c r="G4" s="9" t="s">
        <v>1080</v>
      </c>
      <c r="H4" s="9"/>
      <c r="I4" s="9"/>
      <c r="J4" s="9"/>
      <c r="K4" s="9" t="s">
        <v>814</v>
      </c>
      <c r="L4" s="9" t="s">
        <v>1790</v>
      </c>
      <c r="M4" s="9"/>
    </row>
    <row r="5" spans="2:16" x14ac:dyDescent="0.25">
      <c r="B5" s="9" t="s">
        <v>1079</v>
      </c>
      <c r="C5" s="9" t="s">
        <v>1141</v>
      </c>
      <c r="D5" s="9" t="s">
        <v>987</v>
      </c>
      <c r="E5" s="9" t="s">
        <v>1225</v>
      </c>
      <c r="F5" s="9" t="s">
        <v>1572</v>
      </c>
      <c r="G5" s="9" t="s">
        <v>1081</v>
      </c>
      <c r="H5" s="9"/>
      <c r="I5" s="9"/>
      <c r="J5" s="9"/>
      <c r="K5" s="9" t="s">
        <v>1143</v>
      </c>
      <c r="L5" s="9"/>
      <c r="M5" s="9"/>
    </row>
    <row r="6" spans="2:16" x14ac:dyDescent="0.25">
      <c r="B6" s="9" t="s">
        <v>1763</v>
      </c>
      <c r="C6" s="9"/>
      <c r="D6" s="9" t="s">
        <v>1757</v>
      </c>
      <c r="E6" s="9" t="s">
        <v>2517</v>
      </c>
      <c r="F6" s="9"/>
      <c r="G6" s="9" t="s">
        <v>1787</v>
      </c>
      <c r="H6" s="9"/>
      <c r="I6" s="9"/>
      <c r="J6" s="9"/>
      <c r="K6" s="9"/>
      <c r="L6" s="9"/>
      <c r="M6" s="9"/>
    </row>
    <row r="7" spans="2:16" x14ac:dyDescent="0.25">
      <c r="B7" s="9"/>
      <c r="C7" s="9"/>
      <c r="D7" s="9"/>
      <c r="E7" s="9" t="s">
        <v>2518</v>
      </c>
      <c r="F7" s="9"/>
      <c r="G7" s="9"/>
      <c r="H7" s="9"/>
      <c r="I7" s="9"/>
      <c r="J7" s="9"/>
      <c r="K7" s="9"/>
      <c r="L7" s="9"/>
      <c r="M7" s="9"/>
    </row>
    <row r="9" spans="2:16" x14ac:dyDescent="0.25">
      <c r="B9" s="9" t="s">
        <v>1587</v>
      </c>
      <c r="D9" s="9" t="s">
        <v>3500</v>
      </c>
      <c r="F9" t="s">
        <v>3505</v>
      </c>
    </row>
    <row r="10" spans="2:16" x14ac:dyDescent="0.25">
      <c r="F10" t="s">
        <v>3510</v>
      </c>
      <c r="P10" t="s">
        <v>2441</v>
      </c>
    </row>
    <row r="11" spans="2:16" x14ac:dyDescent="0.25">
      <c r="B11" t="s">
        <v>819</v>
      </c>
      <c r="F11" t="s">
        <v>3511</v>
      </c>
      <c r="J11" t="s">
        <v>3501</v>
      </c>
      <c r="P11" t="s">
        <v>989</v>
      </c>
    </row>
    <row r="12" spans="2:16" x14ac:dyDescent="0.25">
      <c r="B12" t="s">
        <v>797</v>
      </c>
      <c r="J12" t="s">
        <v>3502</v>
      </c>
    </row>
    <row r="13" spans="2:16" x14ac:dyDescent="0.25">
      <c r="B13" t="s">
        <v>990</v>
      </c>
      <c r="F13" t="s">
        <v>2901</v>
      </c>
    </row>
    <row r="14" spans="2:16" x14ac:dyDescent="0.25">
      <c r="B14" t="s">
        <v>1572</v>
      </c>
      <c r="D14" t="s">
        <v>1572</v>
      </c>
      <c r="F14" t="s">
        <v>3510</v>
      </c>
      <c r="L14" t="s">
        <v>1325</v>
      </c>
      <c r="M14" t="s">
        <v>2413</v>
      </c>
    </row>
    <row r="15" spans="2:16" x14ac:dyDescent="0.25">
      <c r="B15" t="s">
        <v>815</v>
      </c>
      <c r="D15" t="s">
        <v>815</v>
      </c>
      <c r="F15" t="s">
        <v>3512</v>
      </c>
      <c r="L15">
        <v>13</v>
      </c>
      <c r="M15" t="s">
        <v>3503</v>
      </c>
    </row>
    <row r="16" spans="2:16" x14ac:dyDescent="0.25">
      <c r="B16" t="s">
        <v>1787</v>
      </c>
      <c r="D16" t="s">
        <v>1787</v>
      </c>
    </row>
    <row r="17" spans="2:20" x14ac:dyDescent="0.25">
      <c r="B17" t="s">
        <v>1807</v>
      </c>
      <c r="F17" t="s">
        <v>3504</v>
      </c>
      <c r="L17" t="s">
        <v>159</v>
      </c>
      <c r="Q17" t="s">
        <v>3506</v>
      </c>
    </row>
    <row r="18" spans="2:20" x14ac:dyDescent="0.25">
      <c r="B18" t="s">
        <v>31</v>
      </c>
      <c r="F18" t="s">
        <v>3510</v>
      </c>
      <c r="M18" t="s">
        <v>3505</v>
      </c>
      <c r="N18" t="s">
        <v>2901</v>
      </c>
      <c r="O18" t="s">
        <v>3504</v>
      </c>
      <c r="P18" t="s">
        <v>3507</v>
      </c>
      <c r="Q18" t="s">
        <v>3505</v>
      </c>
      <c r="R18" t="s">
        <v>2901</v>
      </c>
      <c r="S18" t="s">
        <v>3504</v>
      </c>
      <c r="T18" t="s">
        <v>3507</v>
      </c>
    </row>
    <row r="19" spans="2:20" x14ac:dyDescent="0.25">
      <c r="B19" t="s">
        <v>2441</v>
      </c>
      <c r="D19" t="s">
        <v>2441</v>
      </c>
      <c r="F19" t="s">
        <v>3513</v>
      </c>
      <c r="K19">
        <v>450000</v>
      </c>
      <c r="L19">
        <v>10</v>
      </c>
      <c r="M19">
        <v>2</v>
      </c>
      <c r="Q19">
        <f t="shared" ref="Q19:Q38" si="0">M19+1</f>
        <v>3</v>
      </c>
    </row>
    <row r="20" spans="2:20" x14ac:dyDescent="0.25">
      <c r="B20" t="s">
        <v>992</v>
      </c>
      <c r="K20">
        <v>675000</v>
      </c>
      <c r="L20">
        <v>11</v>
      </c>
      <c r="M20">
        <v>2</v>
      </c>
      <c r="N20">
        <v>1</v>
      </c>
      <c r="Q20">
        <f t="shared" si="0"/>
        <v>3</v>
      </c>
      <c r="R20">
        <f t="shared" ref="R20:R38" si="1">N20+1</f>
        <v>2</v>
      </c>
    </row>
    <row r="21" spans="2:20" x14ac:dyDescent="0.25">
      <c r="B21" t="s">
        <v>1143</v>
      </c>
      <c r="F21" t="s">
        <v>3507</v>
      </c>
      <c r="K21">
        <v>900000</v>
      </c>
      <c r="L21">
        <v>12</v>
      </c>
      <c r="M21">
        <v>2</v>
      </c>
      <c r="N21">
        <v>2</v>
      </c>
      <c r="Q21">
        <f t="shared" si="0"/>
        <v>3</v>
      </c>
      <c r="R21">
        <f t="shared" si="1"/>
        <v>3</v>
      </c>
    </row>
    <row r="22" spans="2:20" x14ac:dyDescent="0.25">
      <c r="B22" t="s">
        <v>1082</v>
      </c>
      <c r="D22" t="s">
        <v>1082</v>
      </c>
      <c r="F22" t="s">
        <v>3508</v>
      </c>
      <c r="K22">
        <v>1350000</v>
      </c>
      <c r="L22">
        <v>14</v>
      </c>
      <c r="M22">
        <v>3</v>
      </c>
      <c r="N22">
        <v>2</v>
      </c>
      <c r="O22">
        <v>1</v>
      </c>
      <c r="Q22">
        <f t="shared" si="0"/>
        <v>4</v>
      </c>
      <c r="R22">
        <f t="shared" si="1"/>
        <v>3</v>
      </c>
      <c r="S22">
        <f t="shared" ref="S22:S38" si="2">O22+1</f>
        <v>2</v>
      </c>
    </row>
    <row r="23" spans="2:20" x14ac:dyDescent="0.25">
      <c r="F23" t="s">
        <v>3509</v>
      </c>
      <c r="K23">
        <v>1575000</v>
      </c>
      <c r="L23">
        <v>15</v>
      </c>
      <c r="M23">
        <v>4</v>
      </c>
      <c r="N23">
        <v>2</v>
      </c>
      <c r="O23">
        <v>1</v>
      </c>
      <c r="Q23">
        <f t="shared" si="0"/>
        <v>5</v>
      </c>
      <c r="R23">
        <f t="shared" si="1"/>
        <v>3</v>
      </c>
      <c r="S23">
        <f t="shared" si="2"/>
        <v>2</v>
      </c>
    </row>
    <row r="24" spans="2:20" x14ac:dyDescent="0.25">
      <c r="K24">
        <v>1800000</v>
      </c>
      <c r="L24">
        <v>16</v>
      </c>
      <c r="M24">
        <v>4</v>
      </c>
      <c r="N24">
        <v>3</v>
      </c>
      <c r="O24">
        <v>1</v>
      </c>
      <c r="Q24">
        <f t="shared" si="0"/>
        <v>5</v>
      </c>
      <c r="R24">
        <f t="shared" si="1"/>
        <v>4</v>
      </c>
      <c r="S24">
        <f t="shared" si="2"/>
        <v>2</v>
      </c>
    </row>
    <row r="25" spans="2:20" x14ac:dyDescent="0.25">
      <c r="K25">
        <v>2025000</v>
      </c>
      <c r="L25">
        <v>17</v>
      </c>
      <c r="M25">
        <v>5</v>
      </c>
      <c r="N25">
        <v>3</v>
      </c>
      <c r="O25">
        <v>2</v>
      </c>
      <c r="Q25">
        <f t="shared" si="0"/>
        <v>6</v>
      </c>
      <c r="R25">
        <f t="shared" si="1"/>
        <v>4</v>
      </c>
      <c r="S25">
        <f t="shared" si="2"/>
        <v>3</v>
      </c>
    </row>
    <row r="26" spans="2:20" x14ac:dyDescent="0.25">
      <c r="B26" t="s">
        <v>3514</v>
      </c>
      <c r="F26">
        <f>5.5+5.5+5.5+20</f>
        <v>36.5</v>
      </c>
      <c r="G26">
        <v>1</v>
      </c>
      <c r="H26">
        <v>2</v>
      </c>
      <c r="K26">
        <v>2250000</v>
      </c>
      <c r="L26">
        <v>18</v>
      </c>
      <c r="M26">
        <v>6</v>
      </c>
      <c r="N26">
        <v>4</v>
      </c>
      <c r="O26">
        <v>2</v>
      </c>
      <c r="Q26">
        <f t="shared" si="0"/>
        <v>7</v>
      </c>
      <c r="R26">
        <f t="shared" si="1"/>
        <v>5</v>
      </c>
      <c r="S26">
        <f t="shared" si="2"/>
        <v>3</v>
      </c>
    </row>
    <row r="27" spans="2:20" x14ac:dyDescent="0.25">
      <c r="B27" t="s">
        <v>580</v>
      </c>
      <c r="G27">
        <v>2</v>
      </c>
      <c r="H27">
        <v>3</v>
      </c>
      <c r="K27">
        <v>2700000</v>
      </c>
      <c r="L27">
        <v>20</v>
      </c>
      <c r="M27">
        <v>7</v>
      </c>
      <c r="N27">
        <v>5</v>
      </c>
      <c r="O27">
        <v>2</v>
      </c>
      <c r="Q27">
        <f t="shared" si="0"/>
        <v>8</v>
      </c>
      <c r="R27">
        <f t="shared" si="1"/>
        <v>6</v>
      </c>
      <c r="S27">
        <f t="shared" si="2"/>
        <v>3</v>
      </c>
    </row>
    <row r="28" spans="2:20" x14ac:dyDescent="0.25">
      <c r="B28" t="s">
        <v>2413</v>
      </c>
      <c r="G28">
        <v>3</v>
      </c>
      <c r="H28">
        <v>4</v>
      </c>
      <c r="K28">
        <v>2925000</v>
      </c>
      <c r="L28">
        <v>21</v>
      </c>
      <c r="M28">
        <v>8</v>
      </c>
      <c r="N28">
        <v>6</v>
      </c>
      <c r="O28">
        <v>2</v>
      </c>
      <c r="Q28">
        <f t="shared" si="0"/>
        <v>9</v>
      </c>
      <c r="R28">
        <f t="shared" si="1"/>
        <v>7</v>
      </c>
      <c r="S28">
        <f t="shared" si="2"/>
        <v>3</v>
      </c>
    </row>
    <row r="29" spans="2:20" x14ac:dyDescent="0.25">
      <c r="B29" t="s">
        <v>2336</v>
      </c>
      <c r="G29">
        <v>4</v>
      </c>
      <c r="H29">
        <v>5</v>
      </c>
      <c r="K29">
        <v>3150000</v>
      </c>
      <c r="L29">
        <v>22</v>
      </c>
      <c r="M29">
        <v>9</v>
      </c>
      <c r="N29">
        <v>6</v>
      </c>
      <c r="O29" s="25">
        <v>3</v>
      </c>
      <c r="P29">
        <v>3</v>
      </c>
      <c r="Q29">
        <f t="shared" si="0"/>
        <v>10</v>
      </c>
      <c r="R29">
        <f t="shared" si="1"/>
        <v>7</v>
      </c>
      <c r="S29" s="25">
        <f t="shared" si="2"/>
        <v>4</v>
      </c>
      <c r="T29">
        <f t="shared" ref="T29:T38" si="3">P29+1</f>
        <v>4</v>
      </c>
    </row>
    <row r="30" spans="2:20" x14ac:dyDescent="0.25">
      <c r="B30" t="s">
        <v>1292</v>
      </c>
      <c r="G30">
        <v>5</v>
      </c>
      <c r="H30">
        <v>6</v>
      </c>
      <c r="K30">
        <v>3375000</v>
      </c>
      <c r="L30">
        <v>23</v>
      </c>
      <c r="M30">
        <v>9</v>
      </c>
      <c r="N30">
        <v>7</v>
      </c>
      <c r="O30" s="25">
        <v>3</v>
      </c>
      <c r="P30">
        <v>3</v>
      </c>
      <c r="Q30">
        <f t="shared" si="0"/>
        <v>10</v>
      </c>
      <c r="R30">
        <f t="shared" si="1"/>
        <v>8</v>
      </c>
      <c r="S30" s="25">
        <f t="shared" si="2"/>
        <v>4</v>
      </c>
      <c r="T30">
        <f t="shared" si="3"/>
        <v>4</v>
      </c>
    </row>
    <row r="31" spans="2:20" x14ac:dyDescent="0.25">
      <c r="B31" t="s">
        <v>3570</v>
      </c>
      <c r="G31">
        <v>6</v>
      </c>
      <c r="H31">
        <v>7</v>
      </c>
      <c r="K31">
        <v>3600000</v>
      </c>
      <c r="L31">
        <v>24</v>
      </c>
      <c r="M31">
        <v>9</v>
      </c>
      <c r="N31">
        <v>8</v>
      </c>
      <c r="O31" s="25">
        <v>3</v>
      </c>
      <c r="P31">
        <v>3</v>
      </c>
      <c r="Q31">
        <f t="shared" si="0"/>
        <v>10</v>
      </c>
      <c r="R31">
        <f t="shared" si="1"/>
        <v>9</v>
      </c>
      <c r="S31" s="25">
        <f t="shared" si="2"/>
        <v>4</v>
      </c>
      <c r="T31">
        <f t="shared" si="3"/>
        <v>4</v>
      </c>
    </row>
    <row r="32" spans="2:20" x14ac:dyDescent="0.25">
      <c r="G32">
        <v>7</v>
      </c>
      <c r="H32">
        <v>8</v>
      </c>
      <c r="K32">
        <v>3825000</v>
      </c>
      <c r="L32">
        <v>25</v>
      </c>
      <c r="M32">
        <v>9</v>
      </c>
      <c r="N32">
        <v>8</v>
      </c>
      <c r="O32" s="25">
        <v>4</v>
      </c>
      <c r="P32">
        <v>4</v>
      </c>
      <c r="Q32">
        <f t="shared" si="0"/>
        <v>10</v>
      </c>
      <c r="R32">
        <f t="shared" si="1"/>
        <v>9</v>
      </c>
      <c r="S32" s="25">
        <f t="shared" si="2"/>
        <v>5</v>
      </c>
      <c r="T32">
        <f t="shared" si="3"/>
        <v>5</v>
      </c>
    </row>
    <row r="33" spans="2:20" x14ac:dyDescent="0.25">
      <c r="G33">
        <v>8</v>
      </c>
      <c r="H33">
        <v>9</v>
      </c>
      <c r="K33">
        <v>4050000</v>
      </c>
      <c r="L33">
        <v>26</v>
      </c>
      <c r="M33">
        <v>9</v>
      </c>
      <c r="N33">
        <v>9</v>
      </c>
      <c r="O33" s="25">
        <v>4</v>
      </c>
      <c r="P33">
        <v>4</v>
      </c>
      <c r="Q33">
        <f t="shared" si="0"/>
        <v>10</v>
      </c>
      <c r="R33">
        <f t="shared" si="1"/>
        <v>10</v>
      </c>
      <c r="S33" s="25">
        <f t="shared" si="2"/>
        <v>5</v>
      </c>
      <c r="T33">
        <f t="shared" si="3"/>
        <v>5</v>
      </c>
    </row>
    <row r="34" spans="2:20" x14ac:dyDescent="0.25">
      <c r="E34">
        <f>40+25</f>
        <v>65</v>
      </c>
      <c r="G34">
        <v>9</v>
      </c>
      <c r="H34">
        <v>10</v>
      </c>
      <c r="K34">
        <v>4275000</v>
      </c>
      <c r="L34">
        <v>27</v>
      </c>
      <c r="M34">
        <v>9</v>
      </c>
      <c r="N34">
        <v>9</v>
      </c>
      <c r="O34" s="25">
        <v>5</v>
      </c>
      <c r="P34">
        <v>5</v>
      </c>
      <c r="Q34">
        <f t="shared" si="0"/>
        <v>10</v>
      </c>
      <c r="R34">
        <f t="shared" si="1"/>
        <v>10</v>
      </c>
      <c r="S34" s="25">
        <f t="shared" si="2"/>
        <v>6</v>
      </c>
      <c r="T34">
        <f t="shared" si="3"/>
        <v>6</v>
      </c>
    </row>
    <row r="35" spans="2:20" x14ac:dyDescent="0.25">
      <c r="E35">
        <f>40+20+20</f>
        <v>80</v>
      </c>
      <c r="G35">
        <v>10</v>
      </c>
      <c r="H35">
        <v>10</v>
      </c>
      <c r="K35">
        <v>4500000</v>
      </c>
      <c r="L35">
        <v>28</v>
      </c>
      <c r="M35">
        <v>9</v>
      </c>
      <c r="N35">
        <v>9</v>
      </c>
      <c r="O35" s="25">
        <v>6</v>
      </c>
      <c r="P35">
        <v>6</v>
      </c>
      <c r="Q35">
        <f t="shared" si="0"/>
        <v>10</v>
      </c>
      <c r="R35">
        <f t="shared" si="1"/>
        <v>10</v>
      </c>
      <c r="S35" s="25">
        <f t="shared" si="2"/>
        <v>7</v>
      </c>
      <c r="T35">
        <f t="shared" si="3"/>
        <v>7</v>
      </c>
    </row>
    <row r="36" spans="2:20" x14ac:dyDescent="0.25">
      <c r="H36">
        <f>AVERAGE(H26:H35)</f>
        <v>6.4</v>
      </c>
      <c r="K36">
        <v>4725000</v>
      </c>
      <c r="L36">
        <v>29</v>
      </c>
      <c r="M36">
        <v>9</v>
      </c>
      <c r="N36">
        <v>9</v>
      </c>
      <c r="O36" s="25">
        <v>7</v>
      </c>
      <c r="P36">
        <v>7</v>
      </c>
      <c r="Q36">
        <f t="shared" si="0"/>
        <v>10</v>
      </c>
      <c r="R36">
        <f t="shared" si="1"/>
        <v>10</v>
      </c>
      <c r="S36" s="25">
        <f t="shared" si="2"/>
        <v>8</v>
      </c>
      <c r="T36">
        <f t="shared" si="3"/>
        <v>8</v>
      </c>
    </row>
    <row r="37" spans="2:20" x14ac:dyDescent="0.25">
      <c r="H37">
        <f>H36*3+20</f>
        <v>39.200000000000003</v>
      </c>
      <c r="K37">
        <v>4950000</v>
      </c>
      <c r="L37">
        <v>30</v>
      </c>
      <c r="M37">
        <v>9</v>
      </c>
      <c r="N37">
        <v>9</v>
      </c>
      <c r="O37" s="25">
        <v>8</v>
      </c>
      <c r="P37">
        <v>8</v>
      </c>
      <c r="Q37">
        <f t="shared" si="0"/>
        <v>10</v>
      </c>
      <c r="R37">
        <f t="shared" si="1"/>
        <v>10</v>
      </c>
      <c r="S37" s="25">
        <f t="shared" si="2"/>
        <v>9</v>
      </c>
      <c r="T37">
        <f t="shared" si="3"/>
        <v>9</v>
      </c>
    </row>
    <row r="38" spans="2:20" x14ac:dyDescent="0.25">
      <c r="K38">
        <v>5400000</v>
      </c>
      <c r="L38">
        <v>32</v>
      </c>
      <c r="M38">
        <v>9</v>
      </c>
      <c r="N38">
        <v>9</v>
      </c>
      <c r="O38" s="25">
        <v>9</v>
      </c>
      <c r="P38">
        <v>9</v>
      </c>
      <c r="Q38">
        <f t="shared" si="0"/>
        <v>10</v>
      </c>
      <c r="R38">
        <f t="shared" si="1"/>
        <v>10</v>
      </c>
      <c r="S38" s="25">
        <f t="shared" si="2"/>
        <v>10</v>
      </c>
      <c r="T38">
        <f t="shared" si="3"/>
        <v>10</v>
      </c>
    </row>
    <row r="39" spans="2:20" x14ac:dyDescent="0.25">
      <c r="E39" t="s">
        <v>3527</v>
      </c>
      <c r="F39" t="s">
        <v>3528</v>
      </c>
      <c r="G39" t="s">
        <v>1238</v>
      </c>
      <c r="H39" t="s">
        <v>2644</v>
      </c>
      <c r="I39" t="s">
        <v>1207</v>
      </c>
      <c r="J39" t="s">
        <v>1206</v>
      </c>
      <c r="K39" t="s">
        <v>2643</v>
      </c>
    </row>
    <row r="40" spans="2:20" x14ac:dyDescent="0.25">
      <c r="C40" t="s">
        <v>3515</v>
      </c>
      <c r="E40">
        <v>2500</v>
      </c>
      <c r="F40">
        <f t="shared" ref="F40:F50" si="4">E40*6</f>
        <v>15000</v>
      </c>
      <c r="G40">
        <v>4</v>
      </c>
      <c r="H40" t="s">
        <v>3530</v>
      </c>
      <c r="I40" t="s">
        <v>3529</v>
      </c>
      <c r="J40" t="s">
        <v>3551</v>
      </c>
      <c r="K40" t="s">
        <v>3571</v>
      </c>
      <c r="L40" t="s">
        <v>3562</v>
      </c>
    </row>
    <row r="41" spans="2:20" x14ac:dyDescent="0.25">
      <c r="C41" t="s">
        <v>3516</v>
      </c>
      <c r="E41">
        <v>6000</v>
      </c>
      <c r="F41">
        <f t="shared" si="4"/>
        <v>36000</v>
      </c>
      <c r="G41">
        <v>5</v>
      </c>
      <c r="H41" t="s">
        <v>3541</v>
      </c>
      <c r="I41" t="s">
        <v>3531</v>
      </c>
      <c r="J41" t="s">
        <v>3552</v>
      </c>
      <c r="K41" t="s">
        <v>3572</v>
      </c>
    </row>
    <row r="42" spans="2:20" x14ac:dyDescent="0.25">
      <c r="C42" t="s">
        <v>3517</v>
      </c>
      <c r="E42">
        <v>13000</v>
      </c>
      <c r="F42">
        <f t="shared" si="4"/>
        <v>78000</v>
      </c>
      <c r="G42">
        <v>7</v>
      </c>
      <c r="H42" t="s">
        <v>3542</v>
      </c>
      <c r="I42" t="s">
        <v>3532</v>
      </c>
      <c r="J42" t="s">
        <v>3553</v>
      </c>
      <c r="K42" t="s">
        <v>3573</v>
      </c>
      <c r="L42" t="s">
        <v>1238</v>
      </c>
      <c r="M42" t="s">
        <v>2644</v>
      </c>
      <c r="N42" t="s">
        <v>1207</v>
      </c>
      <c r="O42" t="s">
        <v>1206</v>
      </c>
    </row>
    <row r="43" spans="2:20" x14ac:dyDescent="0.25">
      <c r="B43">
        <f>975/6</f>
        <v>162.5</v>
      </c>
      <c r="C43" t="s">
        <v>3518</v>
      </c>
      <c r="E43">
        <v>20000</v>
      </c>
      <c r="F43">
        <f t="shared" si="4"/>
        <v>120000</v>
      </c>
      <c r="G43">
        <v>8</v>
      </c>
      <c r="H43" t="s">
        <v>3543</v>
      </c>
      <c r="I43" t="s">
        <v>3533</v>
      </c>
      <c r="J43" t="s">
        <v>3554</v>
      </c>
      <c r="K43" t="s">
        <v>3574</v>
      </c>
    </row>
    <row r="44" spans="2:20" x14ac:dyDescent="0.25">
      <c r="C44" t="s">
        <v>3519</v>
      </c>
      <c r="E44">
        <v>40000</v>
      </c>
      <c r="F44">
        <f t="shared" si="4"/>
        <v>240000</v>
      </c>
      <c r="G44">
        <v>9</v>
      </c>
      <c r="H44" t="s">
        <v>3544</v>
      </c>
      <c r="I44" t="s">
        <v>3534</v>
      </c>
      <c r="J44" t="s">
        <v>3555</v>
      </c>
      <c r="K44" t="s">
        <v>3575</v>
      </c>
      <c r="L44" t="s">
        <v>3516</v>
      </c>
      <c r="N44" t="s">
        <v>1238</v>
      </c>
    </row>
    <row r="45" spans="2:20" x14ac:dyDescent="0.25">
      <c r="C45" t="s">
        <v>3520</v>
      </c>
      <c r="E45">
        <v>60000</v>
      </c>
      <c r="F45">
        <f t="shared" si="4"/>
        <v>360000</v>
      </c>
      <c r="G45">
        <v>10</v>
      </c>
      <c r="H45" t="s">
        <v>3545</v>
      </c>
      <c r="I45" t="s">
        <v>3535</v>
      </c>
      <c r="J45" t="s">
        <v>3556</v>
      </c>
      <c r="K45" t="s">
        <v>3576</v>
      </c>
      <c r="L45" t="s">
        <v>3563</v>
      </c>
      <c r="N45" t="s">
        <v>3564</v>
      </c>
      <c r="O45" t="s">
        <v>1207</v>
      </c>
      <c r="P45" t="s">
        <v>1206</v>
      </c>
      <c r="Q45" t="s">
        <v>2644</v>
      </c>
      <c r="R45" t="s">
        <v>2643</v>
      </c>
    </row>
    <row r="46" spans="2:20" x14ac:dyDescent="0.25">
      <c r="C46" t="s">
        <v>3521</v>
      </c>
      <c r="E46">
        <v>90000</v>
      </c>
      <c r="F46">
        <f t="shared" si="4"/>
        <v>540000</v>
      </c>
      <c r="G46">
        <v>10</v>
      </c>
      <c r="H46" t="s">
        <v>3546</v>
      </c>
      <c r="I46" t="s">
        <v>3536</v>
      </c>
      <c r="J46" t="s">
        <v>3557</v>
      </c>
      <c r="K46" t="s">
        <v>3577</v>
      </c>
      <c r="L46" t="s">
        <v>3565</v>
      </c>
      <c r="N46" t="s">
        <v>1238</v>
      </c>
      <c r="O46" t="s">
        <v>1207</v>
      </c>
      <c r="P46" t="s">
        <v>1206</v>
      </c>
      <c r="Q46" t="s">
        <v>2644</v>
      </c>
      <c r="R46" t="s">
        <v>2643</v>
      </c>
    </row>
    <row r="47" spans="2:20" x14ac:dyDescent="0.25">
      <c r="C47" t="s">
        <v>3522</v>
      </c>
      <c r="E47">
        <v>150000</v>
      </c>
      <c r="F47">
        <f t="shared" si="4"/>
        <v>900000</v>
      </c>
      <c r="G47">
        <v>12</v>
      </c>
      <c r="H47" t="s">
        <v>3547</v>
      </c>
      <c r="I47" t="s">
        <v>3537</v>
      </c>
      <c r="J47" t="s">
        <v>3558</v>
      </c>
      <c r="K47" t="s">
        <v>3578</v>
      </c>
      <c r="L47" t="s">
        <v>3566</v>
      </c>
      <c r="N47" t="s">
        <v>1238</v>
      </c>
      <c r="O47" t="s">
        <v>1207</v>
      </c>
      <c r="P47" t="s">
        <v>1206</v>
      </c>
      <c r="Q47" t="s">
        <v>2644</v>
      </c>
    </row>
    <row r="48" spans="2:20" x14ac:dyDescent="0.25">
      <c r="C48" t="s">
        <v>3523</v>
      </c>
      <c r="E48">
        <v>300000</v>
      </c>
      <c r="F48">
        <f t="shared" si="4"/>
        <v>1800000</v>
      </c>
      <c r="G48">
        <v>14</v>
      </c>
      <c r="H48" t="s">
        <v>3548</v>
      </c>
      <c r="I48" t="s">
        <v>3538</v>
      </c>
      <c r="J48" t="s">
        <v>3559</v>
      </c>
      <c r="K48" t="s">
        <v>3579</v>
      </c>
      <c r="L48" t="s">
        <v>3567</v>
      </c>
      <c r="O48" t="s">
        <v>1207</v>
      </c>
      <c r="Q48" t="s">
        <v>2644</v>
      </c>
      <c r="R48" t="s">
        <v>2643</v>
      </c>
    </row>
    <row r="49" spans="3:18" x14ac:dyDescent="0.25">
      <c r="C49" t="s">
        <v>3524</v>
      </c>
      <c r="E49">
        <v>500000</v>
      </c>
      <c r="F49">
        <f t="shared" si="4"/>
        <v>3000000</v>
      </c>
      <c r="G49">
        <v>18</v>
      </c>
      <c r="H49" t="s">
        <v>3549</v>
      </c>
      <c r="I49" t="s">
        <v>3539</v>
      </c>
      <c r="J49" t="s">
        <v>3560</v>
      </c>
      <c r="K49" t="s">
        <v>3580</v>
      </c>
      <c r="L49" t="s">
        <v>3568</v>
      </c>
      <c r="P49" t="s">
        <v>1206</v>
      </c>
    </row>
    <row r="50" spans="3:18" x14ac:dyDescent="0.25">
      <c r="C50" t="s">
        <v>3525</v>
      </c>
      <c r="E50">
        <v>750000</v>
      </c>
      <c r="F50">
        <f t="shared" si="4"/>
        <v>4500000</v>
      </c>
      <c r="G50">
        <v>22</v>
      </c>
      <c r="H50" t="s">
        <v>3550</v>
      </c>
      <c r="I50" t="s">
        <v>3540</v>
      </c>
      <c r="J50" t="s">
        <v>3561</v>
      </c>
      <c r="K50" t="s">
        <v>3549</v>
      </c>
      <c r="L50" t="s">
        <v>3569</v>
      </c>
      <c r="O50" t="s">
        <v>1207</v>
      </c>
      <c r="P50" t="s">
        <v>1206</v>
      </c>
      <c r="Q50" t="s">
        <v>2644</v>
      </c>
      <c r="R50" t="s">
        <v>2643</v>
      </c>
    </row>
    <row r="51" spans="3:18" x14ac:dyDescent="0.25">
      <c r="C51" t="s">
        <v>3526</v>
      </c>
    </row>
    <row r="52" spans="3:18" x14ac:dyDescent="0.25">
      <c r="O52">
        <f>3-5-3-1-2-1-6-2</f>
        <v>-17</v>
      </c>
      <c r="P52">
        <f>1-3-4-3-1-2</f>
        <v>-12</v>
      </c>
      <c r="Q52">
        <f>3-5-3-1-2-1-6-2-3</f>
        <v>-20</v>
      </c>
      <c r="R52">
        <f>3-5-3-1-2-1-6-2</f>
        <v>-17</v>
      </c>
    </row>
    <row r="54" spans="3:18" x14ac:dyDescent="0.25">
      <c r="J54">
        <f>1+1+1+0.5+1</f>
        <v>4.5</v>
      </c>
    </row>
    <row r="55" spans="3:18" x14ac:dyDescent="0.25">
      <c r="L55">
        <f>5-4-1-3-1-2</f>
        <v>-6</v>
      </c>
      <c r="M55">
        <f>4.5+3+12+2+2+3</f>
        <v>26.5</v>
      </c>
      <c r="P55">
        <f>75+15</f>
        <v>90</v>
      </c>
    </row>
    <row r="56" spans="3:18" x14ac:dyDescent="0.25">
      <c r="E56">
        <v>11</v>
      </c>
      <c r="M56">
        <f>M55*3</f>
        <v>79.5</v>
      </c>
    </row>
    <row r="57" spans="3:18" x14ac:dyDescent="0.25">
      <c r="E57">
        <v>-5</v>
      </c>
      <c r="F57" t="s">
        <v>1181</v>
      </c>
      <c r="M57">
        <f>M56*0.75*0.6</f>
        <v>35.774999999999999</v>
      </c>
    </row>
    <row r="58" spans="3:18" x14ac:dyDescent="0.25">
      <c r="E58">
        <v>-1</v>
      </c>
      <c r="F58" t="s">
        <v>3249</v>
      </c>
      <c r="M58">
        <f>N58/M57</f>
        <v>9.7833682739343129</v>
      </c>
      <c r="N58">
        <v>350</v>
      </c>
    </row>
    <row r="59" spans="3:18" x14ac:dyDescent="0.25">
      <c r="E59">
        <v>-1</v>
      </c>
      <c r="F59" t="s">
        <v>640</v>
      </c>
    </row>
    <row r="61" spans="3:18" x14ac:dyDescent="0.25">
      <c r="E61">
        <f>SUM(E56:E60)</f>
        <v>4</v>
      </c>
    </row>
    <row r="73" spans="8:8" x14ac:dyDescent="0.25">
      <c r="H73" s="4"/>
    </row>
    <row r="83" spans="7:8" x14ac:dyDescent="0.25">
      <c r="G83" s="1"/>
    </row>
    <row r="84" spans="7:8" x14ac:dyDescent="0.25">
      <c r="H84" s="4"/>
    </row>
    <row r="97" spans="8:8" x14ac:dyDescent="0.25">
      <c r="H97" s="4"/>
    </row>
    <row r="111" spans="8:8" x14ac:dyDescent="0.25">
      <c r="H111" s="4"/>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G40"/>
  <sheetViews>
    <sheetView topLeftCell="BA19" workbookViewId="0">
      <selection activeCell="BK8" sqref="BK8"/>
    </sheetView>
  </sheetViews>
  <sheetFormatPr defaultRowHeight="15" x14ac:dyDescent="0.25"/>
  <sheetData>
    <row r="1" spans="1:59" x14ac:dyDescent="0.25">
      <c r="A1" t="s">
        <v>129</v>
      </c>
      <c r="B1">
        <v>2</v>
      </c>
      <c r="C1">
        <v>3</v>
      </c>
      <c r="D1">
        <v>4</v>
      </c>
      <c r="E1">
        <v>5</v>
      </c>
      <c r="F1">
        <v>6</v>
      </c>
      <c r="G1">
        <v>7</v>
      </c>
      <c r="I1" t="s">
        <v>132</v>
      </c>
      <c r="J1">
        <v>2</v>
      </c>
      <c r="K1">
        <v>3</v>
      </c>
      <c r="L1">
        <v>4</v>
      </c>
      <c r="M1">
        <v>5</v>
      </c>
      <c r="N1">
        <v>6</v>
      </c>
      <c r="O1">
        <v>7</v>
      </c>
      <c r="Q1" t="s">
        <v>135</v>
      </c>
      <c r="R1">
        <v>2</v>
      </c>
      <c r="S1">
        <v>3</v>
      </c>
      <c r="T1">
        <v>4</v>
      </c>
      <c r="U1">
        <v>5</v>
      </c>
      <c r="V1">
        <v>6</v>
      </c>
      <c r="W1">
        <v>7</v>
      </c>
      <c r="Y1" t="s">
        <v>131</v>
      </c>
      <c r="Z1">
        <v>2</v>
      </c>
      <c r="AA1">
        <v>3</v>
      </c>
      <c r="AB1">
        <v>4</v>
      </c>
      <c r="AD1" t="s">
        <v>133</v>
      </c>
      <c r="AE1">
        <v>2</v>
      </c>
      <c r="AF1">
        <v>3</v>
      </c>
      <c r="AH1" t="s">
        <v>134</v>
      </c>
      <c r="AI1">
        <v>2</v>
      </c>
      <c r="AJ1">
        <v>3</v>
      </c>
      <c r="AK1">
        <v>4</v>
      </c>
      <c r="AL1">
        <v>5</v>
      </c>
      <c r="AM1">
        <v>6</v>
      </c>
      <c r="AN1">
        <v>7</v>
      </c>
      <c r="AO1">
        <v>8</v>
      </c>
      <c r="AP1">
        <v>9</v>
      </c>
      <c r="AR1" t="s">
        <v>136</v>
      </c>
      <c r="AS1">
        <v>2</v>
      </c>
      <c r="AT1">
        <v>3</v>
      </c>
      <c r="AU1">
        <v>4</v>
      </c>
      <c r="AV1">
        <v>5</v>
      </c>
      <c r="AW1">
        <v>6</v>
      </c>
      <c r="AX1">
        <v>7</v>
      </c>
      <c r="AY1">
        <v>8</v>
      </c>
      <c r="AZ1">
        <v>9</v>
      </c>
      <c r="BB1" t="s">
        <v>130</v>
      </c>
      <c r="BC1">
        <v>2</v>
      </c>
      <c r="BD1">
        <v>3</v>
      </c>
      <c r="BE1">
        <v>4</v>
      </c>
      <c r="BF1">
        <v>5</v>
      </c>
      <c r="BG1">
        <v>6</v>
      </c>
    </row>
    <row r="2" spans="1:59" x14ac:dyDescent="0.25">
      <c r="A2">
        <v>2</v>
      </c>
      <c r="B2">
        <v>0</v>
      </c>
      <c r="C2">
        <v>0</v>
      </c>
      <c r="D2">
        <v>0</v>
      </c>
      <c r="E2">
        <v>0</v>
      </c>
      <c r="F2">
        <v>0</v>
      </c>
      <c r="G2">
        <v>0</v>
      </c>
      <c r="I2">
        <v>1</v>
      </c>
      <c r="J2">
        <v>0</v>
      </c>
      <c r="K2">
        <v>0</v>
      </c>
      <c r="L2">
        <v>0</v>
      </c>
      <c r="M2">
        <v>0</v>
      </c>
      <c r="N2">
        <v>0</v>
      </c>
      <c r="O2">
        <v>0</v>
      </c>
      <c r="Q2">
        <v>0</v>
      </c>
      <c r="R2">
        <v>0</v>
      </c>
      <c r="S2">
        <v>0</v>
      </c>
      <c r="T2">
        <v>0</v>
      </c>
      <c r="U2">
        <v>0</v>
      </c>
      <c r="V2">
        <v>0</v>
      </c>
      <c r="W2">
        <v>0</v>
      </c>
      <c r="Y2">
        <v>0</v>
      </c>
      <c r="Z2">
        <v>0</v>
      </c>
      <c r="AA2">
        <v>0</v>
      </c>
      <c r="AB2">
        <v>0</v>
      </c>
      <c r="AD2">
        <v>0</v>
      </c>
      <c r="AE2">
        <v>0</v>
      </c>
      <c r="AF2">
        <v>0</v>
      </c>
      <c r="AH2">
        <v>3</v>
      </c>
      <c r="AI2">
        <v>0</v>
      </c>
      <c r="AJ2">
        <v>0</v>
      </c>
      <c r="AK2">
        <v>0</v>
      </c>
      <c r="AL2">
        <v>0</v>
      </c>
      <c r="AM2">
        <v>0</v>
      </c>
      <c r="AN2">
        <v>0</v>
      </c>
      <c r="AO2">
        <v>0</v>
      </c>
      <c r="AP2">
        <v>0</v>
      </c>
      <c r="AR2">
        <v>1</v>
      </c>
      <c r="AS2">
        <v>0</v>
      </c>
      <c r="AT2">
        <v>0</v>
      </c>
      <c r="AU2">
        <v>0</v>
      </c>
      <c r="AV2">
        <v>0</v>
      </c>
      <c r="AW2">
        <v>0</v>
      </c>
      <c r="AX2">
        <v>0</v>
      </c>
      <c r="AY2">
        <v>0</v>
      </c>
      <c r="AZ2">
        <v>0</v>
      </c>
      <c r="BB2">
        <v>1</v>
      </c>
      <c r="BC2">
        <v>0</v>
      </c>
      <c r="BD2">
        <v>0</v>
      </c>
      <c r="BE2">
        <v>0</v>
      </c>
      <c r="BF2">
        <v>0</v>
      </c>
      <c r="BG2">
        <v>0</v>
      </c>
    </row>
    <row r="3" spans="1:59" x14ac:dyDescent="0.25">
      <c r="A3">
        <v>2</v>
      </c>
      <c r="B3">
        <v>1</v>
      </c>
      <c r="C3">
        <v>0</v>
      </c>
      <c r="D3">
        <v>0</v>
      </c>
      <c r="E3">
        <v>0</v>
      </c>
      <c r="F3">
        <v>0</v>
      </c>
      <c r="G3">
        <v>0</v>
      </c>
      <c r="I3">
        <v>2</v>
      </c>
      <c r="J3">
        <v>0</v>
      </c>
      <c r="K3">
        <v>0</v>
      </c>
      <c r="L3">
        <v>0</v>
      </c>
      <c r="M3">
        <v>0</v>
      </c>
      <c r="N3">
        <v>0</v>
      </c>
      <c r="O3">
        <v>0</v>
      </c>
      <c r="Q3">
        <v>0</v>
      </c>
      <c r="R3">
        <v>0</v>
      </c>
      <c r="S3">
        <v>0</v>
      </c>
      <c r="T3">
        <v>0</v>
      </c>
      <c r="U3">
        <v>0</v>
      </c>
      <c r="V3">
        <v>0</v>
      </c>
      <c r="W3">
        <v>0</v>
      </c>
      <c r="Y3">
        <v>0</v>
      </c>
      <c r="Z3">
        <v>0</v>
      </c>
      <c r="AA3">
        <v>0</v>
      </c>
      <c r="AB3">
        <v>0</v>
      </c>
      <c r="AD3">
        <v>0</v>
      </c>
      <c r="AE3">
        <v>0</v>
      </c>
      <c r="AF3">
        <v>0</v>
      </c>
      <c r="AH3">
        <v>3</v>
      </c>
      <c r="AI3">
        <v>0</v>
      </c>
      <c r="AJ3">
        <v>0</v>
      </c>
      <c r="AK3">
        <v>0</v>
      </c>
      <c r="AL3">
        <v>0</v>
      </c>
      <c r="AM3">
        <v>0</v>
      </c>
      <c r="AN3">
        <v>0</v>
      </c>
      <c r="AO3">
        <v>0</v>
      </c>
      <c r="AP3">
        <v>0</v>
      </c>
      <c r="AR3">
        <v>2</v>
      </c>
      <c r="AS3">
        <v>1</v>
      </c>
      <c r="AT3">
        <v>0</v>
      </c>
      <c r="AU3">
        <v>0</v>
      </c>
      <c r="AV3">
        <v>0</v>
      </c>
      <c r="AW3">
        <v>0</v>
      </c>
      <c r="AX3">
        <v>0</v>
      </c>
      <c r="AY3">
        <v>0</v>
      </c>
      <c r="AZ3">
        <v>0</v>
      </c>
      <c r="BB3">
        <v>2</v>
      </c>
      <c r="BC3">
        <v>0</v>
      </c>
      <c r="BD3">
        <v>0</v>
      </c>
      <c r="BE3">
        <v>0</v>
      </c>
      <c r="BF3">
        <v>0</v>
      </c>
      <c r="BG3">
        <v>0</v>
      </c>
    </row>
    <row r="4" spans="1:59" x14ac:dyDescent="0.25">
      <c r="A4">
        <v>3</v>
      </c>
      <c r="B4">
        <v>2</v>
      </c>
      <c r="C4">
        <v>0</v>
      </c>
      <c r="D4">
        <v>0</v>
      </c>
      <c r="E4">
        <v>0</v>
      </c>
      <c r="F4">
        <v>0</v>
      </c>
      <c r="G4">
        <v>0</v>
      </c>
      <c r="I4">
        <v>2</v>
      </c>
      <c r="J4">
        <v>1</v>
      </c>
      <c r="K4">
        <v>0</v>
      </c>
      <c r="L4">
        <v>0</v>
      </c>
      <c r="M4">
        <v>0</v>
      </c>
      <c r="N4">
        <v>0</v>
      </c>
      <c r="O4">
        <v>0</v>
      </c>
      <c r="Q4">
        <v>0</v>
      </c>
      <c r="R4">
        <v>0</v>
      </c>
      <c r="S4">
        <v>0</v>
      </c>
      <c r="T4">
        <v>0</v>
      </c>
      <c r="U4">
        <v>0</v>
      </c>
      <c r="V4">
        <v>0</v>
      </c>
      <c r="W4">
        <v>0</v>
      </c>
      <c r="Y4">
        <v>0</v>
      </c>
      <c r="Z4">
        <v>0</v>
      </c>
      <c r="AA4">
        <v>0</v>
      </c>
      <c r="AB4">
        <v>0</v>
      </c>
      <c r="AD4">
        <v>0</v>
      </c>
      <c r="AE4">
        <v>0</v>
      </c>
      <c r="AF4">
        <v>0</v>
      </c>
      <c r="AH4">
        <v>4</v>
      </c>
      <c r="AI4">
        <v>3</v>
      </c>
      <c r="AJ4">
        <v>0</v>
      </c>
      <c r="AK4">
        <v>0</v>
      </c>
      <c r="AL4">
        <v>0</v>
      </c>
      <c r="AM4">
        <v>0</v>
      </c>
      <c r="AN4">
        <v>0</v>
      </c>
      <c r="AO4">
        <v>0</v>
      </c>
      <c r="AP4">
        <v>0</v>
      </c>
      <c r="AR4">
        <v>2</v>
      </c>
      <c r="AS4">
        <v>2</v>
      </c>
      <c r="AT4">
        <v>0</v>
      </c>
      <c r="AU4">
        <v>0</v>
      </c>
      <c r="AV4">
        <v>0</v>
      </c>
      <c r="AW4">
        <v>0</v>
      </c>
      <c r="AX4">
        <v>0</v>
      </c>
      <c r="AY4">
        <v>0</v>
      </c>
      <c r="AZ4">
        <v>0</v>
      </c>
      <c r="BB4">
        <v>2</v>
      </c>
      <c r="BC4">
        <v>1</v>
      </c>
      <c r="BD4">
        <v>0</v>
      </c>
      <c r="BE4">
        <v>0</v>
      </c>
      <c r="BF4">
        <v>0</v>
      </c>
      <c r="BG4">
        <v>0</v>
      </c>
    </row>
    <row r="5" spans="1:59" x14ac:dyDescent="0.25">
      <c r="A5">
        <v>3</v>
      </c>
      <c r="B5">
        <v>3</v>
      </c>
      <c r="C5">
        <v>1</v>
      </c>
      <c r="D5">
        <v>0</v>
      </c>
      <c r="E5">
        <v>0</v>
      </c>
      <c r="F5">
        <v>0</v>
      </c>
      <c r="G5">
        <v>0</v>
      </c>
      <c r="I5">
        <v>3</v>
      </c>
      <c r="J5">
        <v>2</v>
      </c>
      <c r="K5">
        <v>1</v>
      </c>
      <c r="L5">
        <v>0</v>
      </c>
      <c r="M5">
        <v>0</v>
      </c>
      <c r="N5">
        <v>0</v>
      </c>
      <c r="O5">
        <v>0</v>
      </c>
      <c r="Q5">
        <v>0</v>
      </c>
      <c r="R5">
        <v>0</v>
      </c>
      <c r="S5">
        <v>0</v>
      </c>
      <c r="T5">
        <v>0</v>
      </c>
      <c r="U5">
        <v>0</v>
      </c>
      <c r="V5">
        <v>0</v>
      </c>
      <c r="W5">
        <v>0</v>
      </c>
      <c r="Y5">
        <v>0</v>
      </c>
      <c r="Z5">
        <v>0</v>
      </c>
      <c r="AA5">
        <v>0</v>
      </c>
      <c r="AB5">
        <v>0</v>
      </c>
      <c r="AD5">
        <v>0</v>
      </c>
      <c r="AE5">
        <v>0</v>
      </c>
      <c r="AF5">
        <v>0</v>
      </c>
      <c r="AH5">
        <v>5</v>
      </c>
      <c r="AI5">
        <v>4</v>
      </c>
      <c r="AJ5">
        <v>0</v>
      </c>
      <c r="AK5">
        <v>0</v>
      </c>
      <c r="AL5">
        <v>0</v>
      </c>
      <c r="AM5">
        <v>0</v>
      </c>
      <c r="AN5">
        <v>0</v>
      </c>
      <c r="AO5">
        <v>0</v>
      </c>
      <c r="AP5">
        <v>0</v>
      </c>
      <c r="AR5">
        <v>3</v>
      </c>
      <c r="AS5">
        <v>2</v>
      </c>
      <c r="AT5">
        <v>1</v>
      </c>
      <c r="AU5">
        <v>0</v>
      </c>
      <c r="AV5">
        <v>0</v>
      </c>
      <c r="AW5">
        <v>0</v>
      </c>
      <c r="AX5">
        <v>0</v>
      </c>
      <c r="AY5">
        <v>0</v>
      </c>
      <c r="AZ5">
        <v>0</v>
      </c>
      <c r="BB5">
        <v>3</v>
      </c>
      <c r="BC5">
        <v>1</v>
      </c>
      <c r="BD5">
        <v>0</v>
      </c>
      <c r="BE5">
        <v>0</v>
      </c>
      <c r="BF5">
        <v>0</v>
      </c>
      <c r="BG5">
        <v>0</v>
      </c>
    </row>
    <row r="6" spans="1:59" x14ac:dyDescent="0.25">
      <c r="A6">
        <v>3</v>
      </c>
      <c r="B6">
        <v>3</v>
      </c>
      <c r="C6">
        <v>2</v>
      </c>
      <c r="D6">
        <v>0</v>
      </c>
      <c r="E6">
        <v>0</v>
      </c>
      <c r="F6">
        <v>0</v>
      </c>
      <c r="G6">
        <v>0</v>
      </c>
      <c r="I6">
        <v>3</v>
      </c>
      <c r="J6">
        <v>3</v>
      </c>
      <c r="K6">
        <v>2</v>
      </c>
      <c r="L6">
        <v>0</v>
      </c>
      <c r="M6">
        <v>0</v>
      </c>
      <c r="N6">
        <v>0</v>
      </c>
      <c r="O6">
        <v>0</v>
      </c>
      <c r="Q6">
        <v>0</v>
      </c>
      <c r="R6">
        <v>0</v>
      </c>
      <c r="S6">
        <v>0</v>
      </c>
      <c r="T6">
        <v>0</v>
      </c>
      <c r="U6">
        <v>0</v>
      </c>
      <c r="V6">
        <v>0</v>
      </c>
      <c r="W6">
        <v>0</v>
      </c>
      <c r="Y6">
        <v>0</v>
      </c>
      <c r="Z6">
        <v>0</v>
      </c>
      <c r="AA6">
        <v>0</v>
      </c>
      <c r="AB6">
        <v>0</v>
      </c>
      <c r="AD6">
        <v>0</v>
      </c>
      <c r="AE6">
        <v>0</v>
      </c>
      <c r="AF6">
        <v>0</v>
      </c>
      <c r="AH6">
        <v>6</v>
      </c>
      <c r="AI6">
        <v>5</v>
      </c>
      <c r="AJ6">
        <v>3</v>
      </c>
      <c r="AK6">
        <v>0</v>
      </c>
      <c r="AL6">
        <v>0</v>
      </c>
      <c r="AM6">
        <v>0</v>
      </c>
      <c r="AN6">
        <v>0</v>
      </c>
      <c r="AO6">
        <v>0</v>
      </c>
      <c r="AP6">
        <v>0</v>
      </c>
      <c r="AR6">
        <v>4</v>
      </c>
      <c r="AS6">
        <v>2</v>
      </c>
      <c r="AT6">
        <v>2</v>
      </c>
      <c r="AU6">
        <v>0</v>
      </c>
      <c r="AV6">
        <v>0</v>
      </c>
      <c r="AW6">
        <v>0</v>
      </c>
      <c r="AX6">
        <v>0</v>
      </c>
      <c r="AY6">
        <v>0</v>
      </c>
      <c r="AZ6">
        <v>0</v>
      </c>
      <c r="BB6">
        <v>3</v>
      </c>
      <c r="BC6">
        <v>2</v>
      </c>
      <c r="BD6">
        <v>0</v>
      </c>
      <c r="BE6">
        <v>0</v>
      </c>
      <c r="BF6">
        <v>0</v>
      </c>
      <c r="BG6">
        <v>0</v>
      </c>
    </row>
    <row r="7" spans="1:59" x14ac:dyDescent="0.25">
      <c r="A7">
        <v>3</v>
      </c>
      <c r="B7">
        <v>3</v>
      </c>
      <c r="C7">
        <v>2</v>
      </c>
      <c r="D7">
        <v>1</v>
      </c>
      <c r="E7">
        <v>0</v>
      </c>
      <c r="F7">
        <v>0</v>
      </c>
      <c r="G7">
        <v>0</v>
      </c>
      <c r="I7">
        <v>3</v>
      </c>
      <c r="J7">
        <v>3</v>
      </c>
      <c r="K7">
        <v>2</v>
      </c>
      <c r="L7">
        <v>1</v>
      </c>
      <c r="M7">
        <v>0</v>
      </c>
      <c r="N7">
        <v>0</v>
      </c>
      <c r="O7">
        <v>0</v>
      </c>
      <c r="Q7">
        <v>0</v>
      </c>
      <c r="R7">
        <v>0</v>
      </c>
      <c r="S7">
        <v>0</v>
      </c>
      <c r="T7">
        <v>0</v>
      </c>
      <c r="U7">
        <v>0</v>
      </c>
      <c r="V7">
        <v>0</v>
      </c>
      <c r="W7">
        <v>0</v>
      </c>
      <c r="Y7">
        <v>0</v>
      </c>
      <c r="Z7">
        <v>0</v>
      </c>
      <c r="AA7">
        <v>0</v>
      </c>
      <c r="AB7">
        <v>0</v>
      </c>
      <c r="AD7">
        <v>0</v>
      </c>
      <c r="AE7">
        <v>0</v>
      </c>
      <c r="AF7">
        <v>0</v>
      </c>
      <c r="AH7">
        <v>6</v>
      </c>
      <c r="AI7">
        <v>6</v>
      </c>
      <c r="AJ7">
        <v>4</v>
      </c>
      <c r="AK7">
        <v>0</v>
      </c>
      <c r="AL7">
        <v>0</v>
      </c>
      <c r="AM7">
        <v>0</v>
      </c>
      <c r="AN7">
        <v>0</v>
      </c>
      <c r="AO7">
        <v>0</v>
      </c>
      <c r="AP7">
        <v>0</v>
      </c>
      <c r="AR7">
        <v>4</v>
      </c>
      <c r="AS7">
        <v>2</v>
      </c>
      <c r="AT7">
        <v>2</v>
      </c>
      <c r="AU7">
        <v>1</v>
      </c>
      <c r="AV7">
        <v>0</v>
      </c>
      <c r="AW7">
        <v>0</v>
      </c>
      <c r="AX7">
        <v>0</v>
      </c>
      <c r="AY7">
        <v>0</v>
      </c>
      <c r="AZ7">
        <v>0</v>
      </c>
      <c r="BB7">
        <v>3</v>
      </c>
      <c r="BC7">
        <v>2</v>
      </c>
      <c r="BD7">
        <v>1</v>
      </c>
      <c r="BE7">
        <v>0</v>
      </c>
      <c r="BF7">
        <v>0</v>
      </c>
      <c r="BG7">
        <v>0</v>
      </c>
    </row>
    <row r="8" spans="1:59" x14ac:dyDescent="0.25">
      <c r="A8">
        <v>3</v>
      </c>
      <c r="B8">
        <v>3</v>
      </c>
      <c r="C8">
        <v>3</v>
      </c>
      <c r="D8">
        <v>2</v>
      </c>
      <c r="E8">
        <v>0</v>
      </c>
      <c r="F8">
        <v>0</v>
      </c>
      <c r="G8">
        <v>0</v>
      </c>
      <c r="I8">
        <v>3</v>
      </c>
      <c r="J8">
        <v>3</v>
      </c>
      <c r="K8">
        <v>3</v>
      </c>
      <c r="L8">
        <v>2</v>
      </c>
      <c r="M8">
        <v>0</v>
      </c>
      <c r="N8">
        <v>0</v>
      </c>
      <c r="O8">
        <v>0</v>
      </c>
      <c r="Q8">
        <v>0</v>
      </c>
      <c r="R8">
        <v>0</v>
      </c>
      <c r="S8">
        <v>0</v>
      </c>
      <c r="T8">
        <v>0</v>
      </c>
      <c r="U8">
        <v>0</v>
      </c>
      <c r="V8">
        <v>0</v>
      </c>
      <c r="W8">
        <v>0</v>
      </c>
      <c r="Y8">
        <v>0</v>
      </c>
      <c r="Z8">
        <v>0</v>
      </c>
      <c r="AA8">
        <v>0</v>
      </c>
      <c r="AB8">
        <v>0</v>
      </c>
      <c r="AD8">
        <v>1</v>
      </c>
      <c r="AE8">
        <v>0</v>
      </c>
      <c r="AF8">
        <v>0</v>
      </c>
      <c r="AH8">
        <v>6</v>
      </c>
      <c r="AI8">
        <v>6</v>
      </c>
      <c r="AJ8">
        <v>5</v>
      </c>
      <c r="AK8">
        <v>3</v>
      </c>
      <c r="AL8">
        <v>0</v>
      </c>
      <c r="AM8">
        <v>0</v>
      </c>
      <c r="AN8">
        <v>0</v>
      </c>
      <c r="AO8">
        <v>0</v>
      </c>
      <c r="AP8">
        <v>0</v>
      </c>
      <c r="AR8">
        <v>4</v>
      </c>
      <c r="AS8">
        <v>3</v>
      </c>
      <c r="AT8">
        <v>3</v>
      </c>
      <c r="AU8">
        <v>2</v>
      </c>
      <c r="AV8">
        <v>0</v>
      </c>
      <c r="AW8">
        <v>0</v>
      </c>
      <c r="AX8">
        <v>0</v>
      </c>
      <c r="AY8">
        <v>0</v>
      </c>
      <c r="AZ8">
        <v>0</v>
      </c>
      <c r="BB8">
        <v>3</v>
      </c>
      <c r="BC8">
        <v>3</v>
      </c>
      <c r="BD8">
        <v>1</v>
      </c>
      <c r="BE8">
        <v>0</v>
      </c>
      <c r="BF8">
        <v>0</v>
      </c>
      <c r="BG8">
        <v>0</v>
      </c>
    </row>
    <row r="9" spans="1:59" x14ac:dyDescent="0.25">
      <c r="A9">
        <v>4</v>
      </c>
      <c r="B9">
        <v>4</v>
      </c>
      <c r="C9">
        <v>3</v>
      </c>
      <c r="D9">
        <v>2</v>
      </c>
      <c r="E9">
        <v>1</v>
      </c>
      <c r="F9">
        <v>0</v>
      </c>
      <c r="G9">
        <v>0</v>
      </c>
      <c r="I9">
        <v>4</v>
      </c>
      <c r="J9">
        <v>4</v>
      </c>
      <c r="K9">
        <v>3</v>
      </c>
      <c r="L9">
        <v>2</v>
      </c>
      <c r="M9">
        <v>1</v>
      </c>
      <c r="N9">
        <v>0</v>
      </c>
      <c r="O9">
        <v>0</v>
      </c>
      <c r="Q9">
        <v>0</v>
      </c>
      <c r="R9">
        <v>0</v>
      </c>
      <c r="S9">
        <v>0</v>
      </c>
      <c r="T9">
        <v>0</v>
      </c>
      <c r="U9">
        <v>0</v>
      </c>
      <c r="V9">
        <v>0</v>
      </c>
      <c r="W9">
        <v>0</v>
      </c>
      <c r="Y9">
        <v>1</v>
      </c>
      <c r="Z9">
        <v>0</v>
      </c>
      <c r="AA9">
        <v>0</v>
      </c>
      <c r="AB9">
        <v>0</v>
      </c>
      <c r="AD9">
        <v>2</v>
      </c>
      <c r="AE9">
        <v>0</v>
      </c>
      <c r="AF9">
        <v>0</v>
      </c>
      <c r="AH9">
        <v>6</v>
      </c>
      <c r="AI9">
        <v>6</v>
      </c>
      <c r="AJ9">
        <v>6</v>
      </c>
      <c r="AK9">
        <v>4</v>
      </c>
      <c r="AL9">
        <v>0</v>
      </c>
      <c r="AM9">
        <v>0</v>
      </c>
      <c r="AN9">
        <v>0</v>
      </c>
      <c r="AO9">
        <v>0</v>
      </c>
      <c r="AP9">
        <v>0</v>
      </c>
      <c r="AR9">
        <v>4</v>
      </c>
      <c r="AS9">
        <v>3</v>
      </c>
      <c r="AT9">
        <v>3</v>
      </c>
      <c r="AU9">
        <v>2</v>
      </c>
      <c r="AV9">
        <v>1</v>
      </c>
      <c r="AW9">
        <v>0</v>
      </c>
      <c r="AX9">
        <v>0</v>
      </c>
      <c r="AY9">
        <v>0</v>
      </c>
      <c r="AZ9">
        <v>0</v>
      </c>
      <c r="BB9">
        <v>3</v>
      </c>
      <c r="BC9">
        <v>3</v>
      </c>
      <c r="BD9">
        <v>2</v>
      </c>
      <c r="BE9">
        <v>0</v>
      </c>
      <c r="BF9">
        <v>0</v>
      </c>
      <c r="BG9">
        <v>0</v>
      </c>
    </row>
    <row r="10" spans="1:59" x14ac:dyDescent="0.25">
      <c r="A10">
        <v>4</v>
      </c>
      <c r="B10">
        <v>4</v>
      </c>
      <c r="C10">
        <v>3</v>
      </c>
      <c r="D10">
        <v>3</v>
      </c>
      <c r="E10">
        <v>2</v>
      </c>
      <c r="F10">
        <v>0</v>
      </c>
      <c r="G10">
        <v>0</v>
      </c>
      <c r="I10">
        <v>4</v>
      </c>
      <c r="J10">
        <v>4</v>
      </c>
      <c r="K10">
        <v>3</v>
      </c>
      <c r="L10">
        <v>3</v>
      </c>
      <c r="M10">
        <v>2</v>
      </c>
      <c r="N10">
        <v>0</v>
      </c>
      <c r="O10">
        <v>0</v>
      </c>
      <c r="Q10">
        <v>0</v>
      </c>
      <c r="R10">
        <v>0</v>
      </c>
      <c r="S10">
        <v>0</v>
      </c>
      <c r="T10">
        <v>0</v>
      </c>
      <c r="U10">
        <v>0</v>
      </c>
      <c r="V10">
        <v>0</v>
      </c>
      <c r="W10">
        <v>0</v>
      </c>
      <c r="Y10">
        <v>2</v>
      </c>
      <c r="Z10">
        <v>0</v>
      </c>
      <c r="AA10">
        <v>0</v>
      </c>
      <c r="AB10">
        <v>0</v>
      </c>
      <c r="AD10">
        <v>2</v>
      </c>
      <c r="AE10">
        <v>1</v>
      </c>
      <c r="AF10">
        <v>0</v>
      </c>
      <c r="AH10">
        <v>6</v>
      </c>
      <c r="AI10">
        <v>6</v>
      </c>
      <c r="AJ10">
        <v>6</v>
      </c>
      <c r="AK10">
        <v>5</v>
      </c>
      <c r="AL10">
        <v>3</v>
      </c>
      <c r="AM10">
        <v>0</v>
      </c>
      <c r="AN10">
        <v>0</v>
      </c>
      <c r="AO10">
        <v>0</v>
      </c>
      <c r="AP10">
        <v>0</v>
      </c>
      <c r="AR10">
        <v>4</v>
      </c>
      <c r="AS10">
        <v>3</v>
      </c>
      <c r="AT10">
        <v>3</v>
      </c>
      <c r="AU10">
        <v>2</v>
      </c>
      <c r="AV10">
        <v>2</v>
      </c>
      <c r="AW10">
        <v>0</v>
      </c>
      <c r="AX10">
        <v>0</v>
      </c>
      <c r="AY10">
        <v>0</v>
      </c>
      <c r="AZ10">
        <v>0</v>
      </c>
      <c r="BB10">
        <v>3</v>
      </c>
      <c r="BC10">
        <v>3</v>
      </c>
      <c r="BD10">
        <v>2</v>
      </c>
      <c r="BE10">
        <v>1</v>
      </c>
      <c r="BF10">
        <v>0</v>
      </c>
      <c r="BG10">
        <v>0</v>
      </c>
    </row>
    <row r="11" spans="1:59" x14ac:dyDescent="0.25">
      <c r="A11">
        <v>5</v>
      </c>
      <c r="B11">
        <v>4</v>
      </c>
      <c r="C11">
        <v>4</v>
      </c>
      <c r="D11">
        <v>3</v>
      </c>
      <c r="E11">
        <v>2</v>
      </c>
      <c r="F11">
        <v>1</v>
      </c>
      <c r="G11">
        <v>0</v>
      </c>
      <c r="I11">
        <v>5</v>
      </c>
      <c r="J11">
        <v>4</v>
      </c>
      <c r="K11">
        <v>4</v>
      </c>
      <c r="L11">
        <v>3</v>
      </c>
      <c r="M11">
        <v>2</v>
      </c>
      <c r="N11">
        <v>1</v>
      </c>
      <c r="O11">
        <v>0</v>
      </c>
      <c r="Q11">
        <v>0</v>
      </c>
      <c r="R11">
        <v>0</v>
      </c>
      <c r="S11">
        <v>0</v>
      </c>
      <c r="T11">
        <v>0</v>
      </c>
      <c r="U11">
        <v>0</v>
      </c>
      <c r="V11">
        <v>0</v>
      </c>
      <c r="W11">
        <v>0</v>
      </c>
      <c r="Y11">
        <v>2</v>
      </c>
      <c r="Z11">
        <v>1</v>
      </c>
      <c r="AA11">
        <v>0</v>
      </c>
      <c r="AB11">
        <v>0</v>
      </c>
      <c r="AD11">
        <v>2</v>
      </c>
      <c r="AE11">
        <v>2</v>
      </c>
      <c r="AF11">
        <v>0</v>
      </c>
      <c r="AH11">
        <v>6</v>
      </c>
      <c r="AI11">
        <v>6</v>
      </c>
      <c r="AJ11">
        <v>6</v>
      </c>
      <c r="AK11">
        <v>6</v>
      </c>
      <c r="AL11">
        <v>4</v>
      </c>
      <c r="AM11">
        <v>0</v>
      </c>
      <c r="AN11">
        <v>0</v>
      </c>
      <c r="AO11">
        <v>0</v>
      </c>
      <c r="AP11">
        <v>0</v>
      </c>
      <c r="AR11">
        <v>4</v>
      </c>
      <c r="AS11">
        <v>4</v>
      </c>
      <c r="AT11">
        <v>4</v>
      </c>
      <c r="AU11">
        <v>3</v>
      </c>
      <c r="AV11">
        <v>3</v>
      </c>
      <c r="AW11">
        <v>0</v>
      </c>
      <c r="AX11">
        <v>0</v>
      </c>
      <c r="AY11">
        <v>0</v>
      </c>
      <c r="AZ11">
        <v>0</v>
      </c>
      <c r="BB11">
        <v>3</v>
      </c>
      <c r="BC11">
        <v>3</v>
      </c>
      <c r="BD11">
        <v>3</v>
      </c>
      <c r="BE11">
        <v>1</v>
      </c>
      <c r="BF11">
        <v>0</v>
      </c>
      <c r="BG11">
        <v>0</v>
      </c>
    </row>
    <row r="12" spans="1:59" x14ac:dyDescent="0.25">
      <c r="A12">
        <v>6</v>
      </c>
      <c r="B12">
        <v>5</v>
      </c>
      <c r="C12">
        <v>5</v>
      </c>
      <c r="D12">
        <v>3</v>
      </c>
      <c r="E12">
        <v>2</v>
      </c>
      <c r="F12">
        <v>2</v>
      </c>
      <c r="G12">
        <v>0</v>
      </c>
      <c r="I12">
        <v>6</v>
      </c>
      <c r="J12">
        <v>5</v>
      </c>
      <c r="K12">
        <v>5</v>
      </c>
      <c r="L12">
        <v>3</v>
      </c>
      <c r="M12">
        <v>2</v>
      </c>
      <c r="N12">
        <v>2</v>
      </c>
      <c r="O12">
        <v>0</v>
      </c>
      <c r="Q12">
        <v>0</v>
      </c>
      <c r="R12">
        <v>0</v>
      </c>
      <c r="S12">
        <v>0</v>
      </c>
      <c r="T12">
        <v>0</v>
      </c>
      <c r="U12">
        <v>0</v>
      </c>
      <c r="V12">
        <v>0</v>
      </c>
      <c r="W12">
        <v>0</v>
      </c>
      <c r="Y12">
        <v>2</v>
      </c>
      <c r="Z12">
        <v>2</v>
      </c>
      <c r="AA12">
        <v>0</v>
      </c>
      <c r="AB12">
        <v>0</v>
      </c>
      <c r="AD12">
        <v>2</v>
      </c>
      <c r="AE12">
        <v>2</v>
      </c>
      <c r="AF12">
        <v>1</v>
      </c>
      <c r="AH12">
        <v>6</v>
      </c>
      <c r="AI12">
        <v>6</v>
      </c>
      <c r="AJ12">
        <v>6</v>
      </c>
      <c r="AK12">
        <v>6</v>
      </c>
      <c r="AL12">
        <v>5</v>
      </c>
      <c r="AM12">
        <v>3</v>
      </c>
      <c r="AN12">
        <v>0</v>
      </c>
      <c r="AO12">
        <v>0</v>
      </c>
      <c r="AP12">
        <v>0</v>
      </c>
      <c r="AR12">
        <v>4</v>
      </c>
      <c r="AS12">
        <v>4</v>
      </c>
      <c r="AT12">
        <v>4</v>
      </c>
      <c r="AU12">
        <v>4</v>
      </c>
      <c r="AV12">
        <v>4</v>
      </c>
      <c r="AW12">
        <v>1</v>
      </c>
      <c r="AX12">
        <v>0</v>
      </c>
      <c r="AY12">
        <v>0</v>
      </c>
      <c r="AZ12">
        <v>0</v>
      </c>
      <c r="BB12">
        <v>3</v>
      </c>
      <c r="BC12">
        <v>3</v>
      </c>
      <c r="BD12">
        <v>3</v>
      </c>
      <c r="BE12">
        <v>2</v>
      </c>
      <c r="BF12">
        <v>0</v>
      </c>
      <c r="BG12">
        <v>0</v>
      </c>
    </row>
    <row r="13" spans="1:59" x14ac:dyDescent="0.25">
      <c r="A13">
        <v>6</v>
      </c>
      <c r="B13">
        <v>6</v>
      </c>
      <c r="C13">
        <v>6</v>
      </c>
      <c r="D13">
        <v>4</v>
      </c>
      <c r="E13">
        <v>2</v>
      </c>
      <c r="F13">
        <v>2</v>
      </c>
      <c r="G13">
        <v>0</v>
      </c>
      <c r="I13">
        <v>6</v>
      </c>
      <c r="J13">
        <v>6</v>
      </c>
      <c r="K13">
        <v>6</v>
      </c>
      <c r="L13">
        <v>4</v>
      </c>
      <c r="M13">
        <v>2</v>
      </c>
      <c r="N13">
        <v>2</v>
      </c>
      <c r="O13">
        <v>0</v>
      </c>
      <c r="Q13">
        <v>1</v>
      </c>
      <c r="R13">
        <v>0</v>
      </c>
      <c r="S13">
        <v>0</v>
      </c>
      <c r="T13">
        <v>0</v>
      </c>
      <c r="U13">
        <v>0</v>
      </c>
      <c r="V13">
        <v>0</v>
      </c>
      <c r="W13">
        <v>0</v>
      </c>
      <c r="Y13">
        <v>2</v>
      </c>
      <c r="Z13">
        <v>2</v>
      </c>
      <c r="AA13">
        <v>1</v>
      </c>
      <c r="AB13">
        <v>0</v>
      </c>
      <c r="AD13">
        <v>3</v>
      </c>
      <c r="AE13">
        <v>2</v>
      </c>
      <c r="AF13">
        <v>1</v>
      </c>
      <c r="AH13">
        <v>6</v>
      </c>
      <c r="AI13">
        <v>6</v>
      </c>
      <c r="AJ13">
        <v>6</v>
      </c>
      <c r="AK13">
        <v>6</v>
      </c>
      <c r="AL13">
        <v>6</v>
      </c>
      <c r="AM13">
        <v>4</v>
      </c>
      <c r="AN13">
        <v>0</v>
      </c>
      <c r="AO13">
        <v>0</v>
      </c>
      <c r="AP13">
        <v>0</v>
      </c>
      <c r="AR13">
        <v>5</v>
      </c>
      <c r="AS13">
        <v>5</v>
      </c>
      <c r="AT13">
        <v>5</v>
      </c>
      <c r="AU13">
        <v>4</v>
      </c>
      <c r="AV13">
        <v>4</v>
      </c>
      <c r="AW13">
        <v>2</v>
      </c>
      <c r="AX13">
        <v>0</v>
      </c>
      <c r="AY13">
        <v>0</v>
      </c>
      <c r="AZ13">
        <v>0</v>
      </c>
      <c r="BB13">
        <v>3</v>
      </c>
      <c r="BC13">
        <v>3</v>
      </c>
      <c r="BD13">
        <v>3</v>
      </c>
      <c r="BE13">
        <v>2</v>
      </c>
      <c r="BF13">
        <v>1</v>
      </c>
      <c r="BG13">
        <v>0</v>
      </c>
    </row>
    <row r="14" spans="1:59" x14ac:dyDescent="0.25">
      <c r="A14">
        <v>6</v>
      </c>
      <c r="B14">
        <v>6</v>
      </c>
      <c r="C14">
        <v>6</v>
      </c>
      <c r="D14">
        <v>5</v>
      </c>
      <c r="E14">
        <v>3</v>
      </c>
      <c r="F14">
        <v>2</v>
      </c>
      <c r="G14">
        <v>1</v>
      </c>
      <c r="I14">
        <v>6</v>
      </c>
      <c r="J14">
        <v>6</v>
      </c>
      <c r="K14">
        <v>6</v>
      </c>
      <c r="L14">
        <v>5</v>
      </c>
      <c r="M14">
        <v>3</v>
      </c>
      <c r="N14">
        <v>2</v>
      </c>
      <c r="O14">
        <v>1</v>
      </c>
      <c r="Q14">
        <v>2</v>
      </c>
      <c r="R14">
        <v>0</v>
      </c>
      <c r="S14">
        <v>0</v>
      </c>
      <c r="T14">
        <v>0</v>
      </c>
      <c r="U14">
        <v>0</v>
      </c>
      <c r="V14">
        <v>0</v>
      </c>
      <c r="W14">
        <v>0</v>
      </c>
      <c r="Y14">
        <v>3</v>
      </c>
      <c r="Z14">
        <v>2</v>
      </c>
      <c r="AA14">
        <v>1</v>
      </c>
      <c r="AB14">
        <v>0</v>
      </c>
      <c r="AE14">
        <v>2</v>
      </c>
      <c r="AF14">
        <v>2</v>
      </c>
      <c r="AH14">
        <v>6</v>
      </c>
      <c r="AI14">
        <v>6</v>
      </c>
      <c r="AJ14">
        <v>6</v>
      </c>
      <c r="AK14">
        <v>6</v>
      </c>
      <c r="AL14">
        <v>6</v>
      </c>
      <c r="AM14">
        <v>5</v>
      </c>
      <c r="AN14">
        <v>3</v>
      </c>
      <c r="AO14">
        <v>0</v>
      </c>
      <c r="AP14">
        <v>0</v>
      </c>
      <c r="AU14">
        <v>4</v>
      </c>
      <c r="AV14">
        <v>4</v>
      </c>
      <c r="AW14">
        <v>2</v>
      </c>
      <c r="AX14">
        <v>1</v>
      </c>
      <c r="AY14">
        <v>0</v>
      </c>
      <c r="AZ14">
        <v>0</v>
      </c>
      <c r="BB14">
        <v>3</v>
      </c>
      <c r="BC14">
        <v>3</v>
      </c>
      <c r="BD14">
        <v>3</v>
      </c>
      <c r="BE14">
        <v>3</v>
      </c>
      <c r="BF14">
        <v>1</v>
      </c>
      <c r="BG14">
        <v>0</v>
      </c>
    </row>
    <row r="15" spans="1:59" x14ac:dyDescent="0.25">
      <c r="A15">
        <v>6</v>
      </c>
      <c r="B15">
        <v>6</v>
      </c>
      <c r="C15">
        <v>6</v>
      </c>
      <c r="D15">
        <v>6</v>
      </c>
      <c r="E15">
        <v>6</v>
      </c>
      <c r="F15">
        <v>6</v>
      </c>
      <c r="G15">
        <v>6</v>
      </c>
      <c r="I15">
        <v>6</v>
      </c>
      <c r="J15">
        <v>6</v>
      </c>
      <c r="K15">
        <v>6</v>
      </c>
      <c r="L15">
        <v>6</v>
      </c>
      <c r="M15">
        <v>4</v>
      </c>
      <c r="N15">
        <v>2</v>
      </c>
      <c r="O15">
        <v>1</v>
      </c>
      <c r="Q15">
        <v>2</v>
      </c>
      <c r="R15">
        <v>1</v>
      </c>
      <c r="S15">
        <v>0</v>
      </c>
      <c r="T15">
        <v>0</v>
      </c>
      <c r="U15">
        <v>0</v>
      </c>
      <c r="V15">
        <v>0</v>
      </c>
      <c r="W15">
        <v>0</v>
      </c>
      <c r="Z15">
        <v>2</v>
      </c>
      <c r="AA15">
        <v>1</v>
      </c>
      <c r="AB15">
        <v>1</v>
      </c>
      <c r="AE15">
        <v>3</v>
      </c>
      <c r="AF15">
        <v>2</v>
      </c>
      <c r="AH15">
        <v>6</v>
      </c>
      <c r="AI15">
        <v>6</v>
      </c>
      <c r="AJ15">
        <v>6</v>
      </c>
      <c r="AK15">
        <v>6</v>
      </c>
      <c r="AL15">
        <v>6</v>
      </c>
      <c r="AM15">
        <v>6</v>
      </c>
      <c r="AN15">
        <v>4</v>
      </c>
      <c r="AO15">
        <v>0</v>
      </c>
      <c r="AP15">
        <v>0</v>
      </c>
      <c r="AU15">
        <v>5</v>
      </c>
      <c r="AV15">
        <v>5</v>
      </c>
      <c r="AW15">
        <v>2</v>
      </c>
      <c r="AX15">
        <v>1</v>
      </c>
      <c r="AY15">
        <v>0</v>
      </c>
      <c r="AZ15">
        <v>0</v>
      </c>
      <c r="BB15">
        <v>3</v>
      </c>
      <c r="BC15">
        <v>3</v>
      </c>
      <c r="BD15">
        <v>3</v>
      </c>
      <c r="BE15">
        <v>3</v>
      </c>
      <c r="BF15">
        <v>2</v>
      </c>
      <c r="BG15">
        <v>0</v>
      </c>
    </row>
    <row r="16" spans="1:59" x14ac:dyDescent="0.25">
      <c r="A16">
        <v>7</v>
      </c>
      <c r="B16">
        <v>7</v>
      </c>
      <c r="C16">
        <v>7</v>
      </c>
      <c r="D16">
        <v>6</v>
      </c>
      <c r="E16">
        <v>6</v>
      </c>
      <c r="F16">
        <v>6</v>
      </c>
      <c r="G16">
        <v>6</v>
      </c>
      <c r="I16">
        <v>7</v>
      </c>
      <c r="J16">
        <v>7</v>
      </c>
      <c r="K16">
        <v>7</v>
      </c>
      <c r="L16">
        <v>6</v>
      </c>
      <c r="M16">
        <v>4</v>
      </c>
      <c r="N16">
        <v>3</v>
      </c>
      <c r="O16">
        <v>1</v>
      </c>
      <c r="Q16">
        <v>2</v>
      </c>
      <c r="R16">
        <v>2</v>
      </c>
      <c r="S16">
        <v>0</v>
      </c>
      <c r="T16">
        <v>0</v>
      </c>
      <c r="U16">
        <v>0</v>
      </c>
      <c r="V16">
        <v>0</v>
      </c>
      <c r="W16">
        <v>0</v>
      </c>
      <c r="Z16">
        <v>3</v>
      </c>
      <c r="AA16">
        <v>2</v>
      </c>
      <c r="AB16">
        <v>1</v>
      </c>
      <c r="AF16">
        <v>3</v>
      </c>
      <c r="AH16">
        <v>6</v>
      </c>
      <c r="AI16">
        <v>6</v>
      </c>
      <c r="AJ16">
        <v>6</v>
      </c>
      <c r="AK16">
        <v>6</v>
      </c>
      <c r="AL16">
        <v>6</v>
      </c>
      <c r="AM16">
        <v>6</v>
      </c>
      <c r="AN16">
        <v>5</v>
      </c>
      <c r="AO16">
        <v>3</v>
      </c>
      <c r="AP16">
        <v>0</v>
      </c>
      <c r="AW16">
        <v>3</v>
      </c>
      <c r="AX16">
        <v>2</v>
      </c>
      <c r="AY16">
        <v>1</v>
      </c>
      <c r="AZ16">
        <v>0</v>
      </c>
      <c r="BB16">
        <v>4</v>
      </c>
      <c r="BC16">
        <v>3</v>
      </c>
      <c r="BD16">
        <v>3</v>
      </c>
      <c r="BE16">
        <v>3</v>
      </c>
      <c r="BF16">
        <v>2</v>
      </c>
      <c r="BG16">
        <v>1</v>
      </c>
    </row>
    <row r="17" spans="1:59" x14ac:dyDescent="0.25">
      <c r="A17">
        <v>7</v>
      </c>
      <c r="B17">
        <v>7</v>
      </c>
      <c r="C17">
        <v>7</v>
      </c>
      <c r="D17">
        <v>7</v>
      </c>
      <c r="E17">
        <v>6</v>
      </c>
      <c r="F17">
        <v>6</v>
      </c>
      <c r="G17">
        <v>6</v>
      </c>
      <c r="I17">
        <v>7</v>
      </c>
      <c r="J17">
        <v>7</v>
      </c>
      <c r="K17">
        <v>7</v>
      </c>
      <c r="L17">
        <v>7</v>
      </c>
      <c r="M17">
        <v>5</v>
      </c>
      <c r="N17">
        <v>3</v>
      </c>
      <c r="O17">
        <v>2</v>
      </c>
      <c r="Q17">
        <v>2</v>
      </c>
      <c r="R17">
        <v>2</v>
      </c>
      <c r="S17">
        <v>1</v>
      </c>
      <c r="T17">
        <v>0</v>
      </c>
      <c r="U17">
        <v>0</v>
      </c>
      <c r="V17">
        <v>0</v>
      </c>
      <c r="W17">
        <v>0</v>
      </c>
      <c r="AA17">
        <v>3</v>
      </c>
      <c r="AB17">
        <v>1</v>
      </c>
      <c r="AH17">
        <v>6</v>
      </c>
      <c r="AI17">
        <v>6</v>
      </c>
      <c r="AJ17">
        <v>6</v>
      </c>
      <c r="AK17">
        <v>6</v>
      </c>
      <c r="AL17">
        <v>6</v>
      </c>
      <c r="AM17">
        <v>6</v>
      </c>
      <c r="AN17">
        <v>6</v>
      </c>
      <c r="AO17">
        <v>4</v>
      </c>
      <c r="AP17">
        <v>0</v>
      </c>
      <c r="AW17">
        <v>3</v>
      </c>
      <c r="AX17">
        <v>3</v>
      </c>
      <c r="AY17">
        <v>2</v>
      </c>
      <c r="AZ17">
        <v>0</v>
      </c>
      <c r="BB17">
        <v>4</v>
      </c>
      <c r="BC17">
        <v>4</v>
      </c>
      <c r="BD17">
        <v>3</v>
      </c>
      <c r="BE17">
        <v>3</v>
      </c>
      <c r="BF17">
        <v>3</v>
      </c>
      <c r="BG17">
        <v>1</v>
      </c>
    </row>
    <row r="18" spans="1:59" x14ac:dyDescent="0.25">
      <c r="A18">
        <v>8</v>
      </c>
      <c r="B18">
        <v>8</v>
      </c>
      <c r="C18">
        <v>8</v>
      </c>
      <c r="D18">
        <v>8</v>
      </c>
      <c r="E18">
        <v>6</v>
      </c>
      <c r="F18">
        <v>6</v>
      </c>
      <c r="G18">
        <v>6</v>
      </c>
      <c r="I18">
        <v>8</v>
      </c>
      <c r="J18">
        <v>8</v>
      </c>
      <c r="K18">
        <v>8</v>
      </c>
      <c r="L18">
        <v>8</v>
      </c>
      <c r="M18">
        <v>6</v>
      </c>
      <c r="N18">
        <v>4</v>
      </c>
      <c r="O18">
        <v>2</v>
      </c>
      <c r="Q18">
        <v>2</v>
      </c>
      <c r="R18">
        <v>2</v>
      </c>
      <c r="S18">
        <v>1</v>
      </c>
      <c r="T18">
        <v>1</v>
      </c>
      <c r="U18">
        <v>0</v>
      </c>
      <c r="V18">
        <v>0</v>
      </c>
      <c r="W18">
        <v>0</v>
      </c>
      <c r="AB18">
        <v>1</v>
      </c>
      <c r="AH18">
        <v>6</v>
      </c>
      <c r="AI18">
        <v>6</v>
      </c>
      <c r="AJ18">
        <v>6</v>
      </c>
      <c r="AK18">
        <v>6</v>
      </c>
      <c r="AL18">
        <v>6</v>
      </c>
      <c r="AM18">
        <v>6</v>
      </c>
      <c r="AN18">
        <v>6</v>
      </c>
      <c r="AO18">
        <v>5</v>
      </c>
      <c r="AP18">
        <v>3</v>
      </c>
      <c r="AW18">
        <v>3</v>
      </c>
      <c r="AX18">
        <v>3</v>
      </c>
      <c r="AY18">
        <v>2</v>
      </c>
      <c r="AZ18">
        <v>1</v>
      </c>
      <c r="BB18">
        <v>4</v>
      </c>
      <c r="BC18">
        <v>4</v>
      </c>
      <c r="BD18">
        <v>4</v>
      </c>
      <c r="BE18">
        <v>3</v>
      </c>
      <c r="BF18">
        <v>3</v>
      </c>
      <c r="BG18">
        <v>2</v>
      </c>
    </row>
    <row r="19" spans="1:59" x14ac:dyDescent="0.25">
      <c r="A19">
        <v>9</v>
      </c>
      <c r="B19">
        <v>9</v>
      </c>
      <c r="C19">
        <v>8</v>
      </c>
      <c r="D19">
        <v>8</v>
      </c>
      <c r="E19">
        <v>6</v>
      </c>
      <c r="F19">
        <v>6</v>
      </c>
      <c r="G19">
        <v>6</v>
      </c>
      <c r="I19">
        <v>9</v>
      </c>
      <c r="J19">
        <v>9</v>
      </c>
      <c r="K19">
        <v>8</v>
      </c>
      <c r="L19">
        <v>8</v>
      </c>
      <c r="M19">
        <v>6</v>
      </c>
      <c r="N19">
        <v>4</v>
      </c>
      <c r="O19">
        <v>2</v>
      </c>
      <c r="Q19">
        <v>3</v>
      </c>
      <c r="R19">
        <v>2</v>
      </c>
      <c r="S19">
        <v>1</v>
      </c>
      <c r="T19">
        <v>2</v>
      </c>
      <c r="U19">
        <v>0</v>
      </c>
      <c r="V19">
        <v>0</v>
      </c>
      <c r="W19">
        <v>0</v>
      </c>
      <c r="AB19">
        <v>2</v>
      </c>
      <c r="AH19">
        <v>6</v>
      </c>
      <c r="AI19">
        <v>6</v>
      </c>
      <c r="AJ19">
        <v>6</v>
      </c>
      <c r="AK19">
        <v>6</v>
      </c>
      <c r="AL19">
        <v>6</v>
      </c>
      <c r="AM19">
        <v>6</v>
      </c>
      <c r="AN19">
        <v>6</v>
      </c>
      <c r="AO19">
        <v>6</v>
      </c>
      <c r="AP19">
        <v>4</v>
      </c>
      <c r="AW19">
        <v>3</v>
      </c>
      <c r="AX19">
        <v>3</v>
      </c>
      <c r="AY19">
        <v>3</v>
      </c>
      <c r="AZ19">
        <v>1</v>
      </c>
      <c r="BB19">
        <v>4</v>
      </c>
      <c r="BC19">
        <v>4</v>
      </c>
      <c r="BD19">
        <v>4</v>
      </c>
      <c r="BE19">
        <v>4</v>
      </c>
      <c r="BF19">
        <v>3</v>
      </c>
      <c r="BG19">
        <v>2</v>
      </c>
    </row>
    <row r="20" spans="1:59" x14ac:dyDescent="0.25">
      <c r="C20">
        <v>9</v>
      </c>
      <c r="D20">
        <v>8</v>
      </c>
      <c r="E20">
        <v>7</v>
      </c>
      <c r="F20">
        <v>6</v>
      </c>
      <c r="G20">
        <v>6</v>
      </c>
      <c r="K20">
        <v>9</v>
      </c>
      <c r="L20">
        <v>8</v>
      </c>
      <c r="M20">
        <v>7</v>
      </c>
      <c r="N20">
        <v>5</v>
      </c>
      <c r="O20">
        <v>2</v>
      </c>
      <c r="Q20">
        <v>3</v>
      </c>
      <c r="R20">
        <v>3</v>
      </c>
      <c r="S20">
        <v>1</v>
      </c>
      <c r="T20">
        <v>3</v>
      </c>
      <c r="U20">
        <v>0</v>
      </c>
      <c r="V20">
        <v>0</v>
      </c>
      <c r="W20">
        <v>0</v>
      </c>
      <c r="AB20">
        <v>3</v>
      </c>
      <c r="AH20">
        <v>6</v>
      </c>
      <c r="AI20">
        <v>6</v>
      </c>
      <c r="AJ20">
        <v>6</v>
      </c>
      <c r="AK20">
        <v>6</v>
      </c>
      <c r="AL20">
        <v>6</v>
      </c>
      <c r="AM20">
        <v>6</v>
      </c>
      <c r="AN20">
        <v>6</v>
      </c>
      <c r="AO20">
        <v>6</v>
      </c>
      <c r="AP20">
        <v>5</v>
      </c>
      <c r="AW20">
        <v>4</v>
      </c>
      <c r="AX20">
        <v>3</v>
      </c>
      <c r="AY20">
        <v>3</v>
      </c>
      <c r="AZ20">
        <v>2</v>
      </c>
      <c r="BB20">
        <v>4</v>
      </c>
      <c r="BC20">
        <v>4</v>
      </c>
      <c r="BD20">
        <v>4</v>
      </c>
      <c r="BE20">
        <v>4</v>
      </c>
      <c r="BF20">
        <v>4</v>
      </c>
      <c r="BG20">
        <v>3</v>
      </c>
    </row>
    <row r="21" spans="1:59" x14ac:dyDescent="0.25">
      <c r="D21">
        <v>9</v>
      </c>
      <c r="E21">
        <v>8</v>
      </c>
      <c r="F21">
        <v>6</v>
      </c>
      <c r="G21">
        <v>6</v>
      </c>
      <c r="L21">
        <v>9</v>
      </c>
      <c r="M21">
        <v>8</v>
      </c>
      <c r="N21">
        <v>6</v>
      </c>
      <c r="O21">
        <v>2</v>
      </c>
      <c r="Q21">
        <v>3</v>
      </c>
      <c r="R21">
        <v>3</v>
      </c>
      <c r="S21">
        <v>2</v>
      </c>
      <c r="T21">
        <v>3</v>
      </c>
      <c r="U21">
        <v>1</v>
      </c>
      <c r="V21">
        <v>0</v>
      </c>
      <c r="W21">
        <v>0</v>
      </c>
      <c r="AH21">
        <v>6</v>
      </c>
      <c r="AI21">
        <v>6</v>
      </c>
      <c r="AJ21">
        <v>6</v>
      </c>
      <c r="AK21">
        <v>6</v>
      </c>
      <c r="AL21">
        <v>6</v>
      </c>
      <c r="AM21">
        <v>6</v>
      </c>
      <c r="AN21">
        <v>6</v>
      </c>
      <c r="AO21">
        <v>6</v>
      </c>
      <c r="AP21">
        <v>6</v>
      </c>
      <c r="AW21">
        <v>4</v>
      </c>
      <c r="AX21">
        <v>3</v>
      </c>
      <c r="AY21">
        <v>3</v>
      </c>
      <c r="AZ21">
        <v>2</v>
      </c>
      <c r="BB21">
        <v>5</v>
      </c>
      <c r="BC21">
        <v>4</v>
      </c>
      <c r="BD21">
        <v>4</v>
      </c>
      <c r="BE21">
        <v>4</v>
      </c>
      <c r="BF21">
        <v>4</v>
      </c>
      <c r="BG21">
        <v>3</v>
      </c>
    </row>
    <row r="22" spans="1:59" x14ac:dyDescent="0.25">
      <c r="E22">
        <v>8</v>
      </c>
      <c r="F22">
        <v>6</v>
      </c>
      <c r="G22">
        <v>6</v>
      </c>
      <c r="M22">
        <v>8</v>
      </c>
      <c r="N22">
        <v>6</v>
      </c>
      <c r="O22">
        <v>3</v>
      </c>
      <c r="Q22">
        <v>3</v>
      </c>
      <c r="R22">
        <v>3</v>
      </c>
      <c r="S22">
        <v>2</v>
      </c>
      <c r="T22">
        <v>4</v>
      </c>
      <c r="U22">
        <v>2</v>
      </c>
      <c r="V22">
        <v>0</v>
      </c>
      <c r="W22">
        <v>0</v>
      </c>
      <c r="AH22">
        <v>6</v>
      </c>
      <c r="AI22">
        <v>6</v>
      </c>
      <c r="AJ22">
        <v>6</v>
      </c>
      <c r="AK22">
        <v>6</v>
      </c>
      <c r="AL22">
        <v>6</v>
      </c>
      <c r="AM22">
        <v>6</v>
      </c>
      <c r="AN22">
        <v>6</v>
      </c>
      <c r="AO22">
        <v>6</v>
      </c>
      <c r="AP22">
        <v>6</v>
      </c>
      <c r="AW22">
        <v>5</v>
      </c>
      <c r="AX22">
        <v>3</v>
      </c>
      <c r="AY22">
        <v>3</v>
      </c>
      <c r="AZ22">
        <v>3</v>
      </c>
      <c r="BC22">
        <v>5</v>
      </c>
      <c r="BD22">
        <v>4</v>
      </c>
      <c r="BE22">
        <v>4</v>
      </c>
      <c r="BF22">
        <v>4</v>
      </c>
      <c r="BG22">
        <v>3</v>
      </c>
    </row>
    <row r="23" spans="1:59" x14ac:dyDescent="0.25">
      <c r="E23">
        <v>9</v>
      </c>
      <c r="F23">
        <v>7</v>
      </c>
      <c r="G23">
        <v>6</v>
      </c>
      <c r="M23">
        <v>9</v>
      </c>
      <c r="N23">
        <v>7</v>
      </c>
      <c r="O23">
        <v>3</v>
      </c>
      <c r="Q23">
        <v>3</v>
      </c>
      <c r="R23">
        <v>3</v>
      </c>
      <c r="S23">
        <v>2</v>
      </c>
      <c r="T23">
        <v>4</v>
      </c>
      <c r="U23">
        <v>4</v>
      </c>
      <c r="V23">
        <v>0</v>
      </c>
      <c r="W23">
        <v>0</v>
      </c>
      <c r="AH23">
        <v>6</v>
      </c>
      <c r="AI23">
        <v>6</v>
      </c>
      <c r="AJ23">
        <v>6</v>
      </c>
      <c r="AK23">
        <v>6</v>
      </c>
      <c r="AL23">
        <v>6</v>
      </c>
      <c r="AM23">
        <v>6</v>
      </c>
      <c r="AN23">
        <v>6</v>
      </c>
      <c r="AO23">
        <v>6</v>
      </c>
      <c r="AP23">
        <v>6</v>
      </c>
      <c r="AX23">
        <v>3</v>
      </c>
      <c r="AY23">
        <v>3</v>
      </c>
      <c r="AZ23">
        <v>3</v>
      </c>
      <c r="BD23">
        <v>5</v>
      </c>
      <c r="BE23">
        <v>4</v>
      </c>
      <c r="BF23">
        <v>4</v>
      </c>
      <c r="BG23">
        <v>3</v>
      </c>
    </row>
    <row r="24" spans="1:59" x14ac:dyDescent="0.25">
      <c r="G24">
        <v>6</v>
      </c>
      <c r="N24">
        <v>7</v>
      </c>
      <c r="O24">
        <v>3</v>
      </c>
      <c r="Q24">
        <v>3</v>
      </c>
      <c r="R24">
        <v>3</v>
      </c>
      <c r="S24">
        <v>2</v>
      </c>
      <c r="T24">
        <v>4</v>
      </c>
      <c r="U24">
        <v>4</v>
      </c>
      <c r="V24">
        <v>2</v>
      </c>
      <c r="W24">
        <v>0</v>
      </c>
      <c r="AH24">
        <v>6</v>
      </c>
      <c r="AI24">
        <v>6</v>
      </c>
      <c r="AJ24">
        <v>6</v>
      </c>
      <c r="AK24">
        <v>6</v>
      </c>
      <c r="AL24">
        <v>6</v>
      </c>
      <c r="AM24">
        <v>6</v>
      </c>
      <c r="AN24">
        <v>6</v>
      </c>
      <c r="AO24">
        <v>6</v>
      </c>
      <c r="AP24">
        <v>6</v>
      </c>
      <c r="AX24">
        <v>4</v>
      </c>
      <c r="AY24">
        <v>3</v>
      </c>
      <c r="AZ24">
        <v>3</v>
      </c>
      <c r="BE24">
        <v>4</v>
      </c>
      <c r="BF24">
        <v>4</v>
      </c>
      <c r="BG24">
        <v>3</v>
      </c>
    </row>
    <row r="25" spans="1:59" x14ac:dyDescent="0.25">
      <c r="G25">
        <v>7</v>
      </c>
      <c r="N25">
        <v>7</v>
      </c>
      <c r="O25">
        <v>3</v>
      </c>
      <c r="Q25">
        <v>3</v>
      </c>
      <c r="R25">
        <v>3</v>
      </c>
      <c r="S25">
        <v>2</v>
      </c>
      <c r="T25">
        <v>4</v>
      </c>
      <c r="U25">
        <v>4</v>
      </c>
      <c r="V25">
        <v>3</v>
      </c>
      <c r="W25">
        <v>1</v>
      </c>
      <c r="AH25">
        <v>6</v>
      </c>
      <c r="AI25">
        <v>6</v>
      </c>
      <c r="AJ25">
        <v>6</v>
      </c>
      <c r="AK25">
        <v>6</v>
      </c>
      <c r="AL25">
        <v>6</v>
      </c>
      <c r="AM25">
        <v>6</v>
      </c>
      <c r="AN25">
        <v>6</v>
      </c>
      <c r="AO25">
        <v>6</v>
      </c>
      <c r="AP25">
        <v>6</v>
      </c>
      <c r="AX25">
        <v>4</v>
      </c>
      <c r="AY25">
        <v>4</v>
      </c>
      <c r="AZ25">
        <v>3</v>
      </c>
      <c r="BE25">
        <v>5</v>
      </c>
      <c r="BF25">
        <v>4</v>
      </c>
      <c r="BG25">
        <v>3</v>
      </c>
    </row>
    <row r="26" spans="1:59" x14ac:dyDescent="0.25">
      <c r="N26">
        <v>8</v>
      </c>
      <c r="O26">
        <v>3</v>
      </c>
      <c r="AH26">
        <v>6</v>
      </c>
      <c r="AI26">
        <v>6</v>
      </c>
      <c r="AJ26">
        <v>6</v>
      </c>
      <c r="AK26">
        <v>6</v>
      </c>
      <c r="AL26">
        <v>6</v>
      </c>
      <c r="AM26">
        <v>6</v>
      </c>
      <c r="AN26">
        <v>6</v>
      </c>
      <c r="AO26">
        <v>6</v>
      </c>
      <c r="AP26">
        <v>6</v>
      </c>
      <c r="AX26">
        <v>4</v>
      </c>
      <c r="AY26">
        <v>4</v>
      </c>
      <c r="AZ26">
        <v>3</v>
      </c>
      <c r="BF26">
        <v>4</v>
      </c>
      <c r="BG26">
        <v>3</v>
      </c>
    </row>
    <row r="27" spans="1:59" x14ac:dyDescent="0.25">
      <c r="O27">
        <v>3</v>
      </c>
      <c r="AH27">
        <v>6</v>
      </c>
      <c r="AI27">
        <v>6</v>
      </c>
      <c r="AJ27">
        <v>6</v>
      </c>
      <c r="AK27">
        <v>6</v>
      </c>
      <c r="AL27">
        <v>6</v>
      </c>
      <c r="AM27">
        <v>6</v>
      </c>
      <c r="AN27">
        <v>6</v>
      </c>
      <c r="AO27">
        <v>6</v>
      </c>
      <c r="AP27">
        <v>6</v>
      </c>
      <c r="AX27">
        <v>4</v>
      </c>
      <c r="AY27">
        <v>4</v>
      </c>
      <c r="AZ27">
        <v>4</v>
      </c>
      <c r="BF27">
        <v>4</v>
      </c>
      <c r="BG27">
        <v>3</v>
      </c>
    </row>
    <row r="28" spans="1:59" x14ac:dyDescent="0.25">
      <c r="O28">
        <v>4</v>
      </c>
      <c r="AH28">
        <v>6</v>
      </c>
      <c r="AI28">
        <v>6</v>
      </c>
      <c r="AJ28">
        <v>6</v>
      </c>
      <c r="AK28">
        <v>6</v>
      </c>
      <c r="AL28">
        <v>6</v>
      </c>
      <c r="AM28">
        <v>6</v>
      </c>
      <c r="AN28">
        <v>6</v>
      </c>
      <c r="AO28">
        <v>6</v>
      </c>
      <c r="AP28">
        <v>6</v>
      </c>
      <c r="AX28">
        <v>5</v>
      </c>
      <c r="AY28">
        <v>4</v>
      </c>
      <c r="AZ28">
        <v>4</v>
      </c>
      <c r="BF28">
        <v>5</v>
      </c>
      <c r="BG28">
        <v>3</v>
      </c>
    </row>
    <row r="29" spans="1:59" x14ac:dyDescent="0.25">
      <c r="O29">
        <v>4</v>
      </c>
      <c r="AH29">
        <v>6</v>
      </c>
      <c r="AI29">
        <v>6</v>
      </c>
      <c r="AJ29">
        <v>6</v>
      </c>
      <c r="AK29">
        <v>6</v>
      </c>
      <c r="AL29">
        <v>6</v>
      </c>
      <c r="AM29">
        <v>6</v>
      </c>
      <c r="AN29">
        <v>6</v>
      </c>
      <c r="AO29">
        <v>6</v>
      </c>
      <c r="AP29">
        <v>6</v>
      </c>
      <c r="AY29">
        <v>5</v>
      </c>
      <c r="AZ29">
        <v>4</v>
      </c>
      <c r="BG29">
        <v>3</v>
      </c>
    </row>
    <row r="30" spans="1:59" x14ac:dyDescent="0.25">
      <c r="O30">
        <v>4.5</v>
      </c>
      <c r="AH30">
        <v>6</v>
      </c>
      <c r="AI30">
        <v>6</v>
      </c>
      <c r="AJ30">
        <v>6</v>
      </c>
      <c r="AK30">
        <v>6</v>
      </c>
      <c r="AL30">
        <v>6</v>
      </c>
      <c r="AM30">
        <v>6</v>
      </c>
      <c r="AN30">
        <v>6</v>
      </c>
      <c r="AO30">
        <v>6</v>
      </c>
      <c r="AP30">
        <v>6</v>
      </c>
      <c r="AZ30">
        <v>4</v>
      </c>
      <c r="BG30">
        <v>4</v>
      </c>
    </row>
    <row r="31" spans="1:59" x14ac:dyDescent="0.25">
      <c r="O31">
        <v>5</v>
      </c>
      <c r="AH31">
        <v>6</v>
      </c>
      <c r="AI31">
        <v>6</v>
      </c>
      <c r="AJ31">
        <v>6</v>
      </c>
      <c r="AK31">
        <v>6</v>
      </c>
      <c r="AL31">
        <v>6</v>
      </c>
      <c r="AM31">
        <v>6</v>
      </c>
      <c r="AN31">
        <v>6</v>
      </c>
      <c r="AO31">
        <v>6</v>
      </c>
      <c r="AP31">
        <v>6</v>
      </c>
      <c r="AZ31">
        <v>4</v>
      </c>
      <c r="BG31">
        <v>4</v>
      </c>
    </row>
    <row r="32" spans="1:59" x14ac:dyDescent="0.25">
      <c r="O32">
        <v>5</v>
      </c>
      <c r="AH32">
        <v>6</v>
      </c>
      <c r="AI32">
        <v>6</v>
      </c>
      <c r="AJ32">
        <v>6</v>
      </c>
      <c r="AK32">
        <v>6</v>
      </c>
      <c r="AL32">
        <v>6</v>
      </c>
      <c r="AM32">
        <v>6</v>
      </c>
      <c r="AN32">
        <v>6</v>
      </c>
      <c r="AO32">
        <v>6</v>
      </c>
      <c r="AP32">
        <v>6</v>
      </c>
      <c r="AZ32">
        <v>4</v>
      </c>
      <c r="BG32">
        <v>4</v>
      </c>
    </row>
    <row r="33" spans="15:59" x14ac:dyDescent="0.25">
      <c r="O33">
        <v>5</v>
      </c>
      <c r="AH33">
        <v>6</v>
      </c>
      <c r="AI33">
        <v>6</v>
      </c>
      <c r="AJ33">
        <v>6</v>
      </c>
      <c r="AK33">
        <v>6</v>
      </c>
      <c r="AL33">
        <v>6</v>
      </c>
      <c r="AM33">
        <v>6</v>
      </c>
      <c r="AN33">
        <v>6</v>
      </c>
      <c r="AO33">
        <v>6</v>
      </c>
      <c r="AP33">
        <v>6</v>
      </c>
      <c r="AZ33">
        <v>4</v>
      </c>
      <c r="BG33">
        <v>4</v>
      </c>
    </row>
    <row r="34" spans="15:59" x14ac:dyDescent="0.25">
      <c r="O34">
        <v>6</v>
      </c>
      <c r="AH34">
        <v>6</v>
      </c>
      <c r="AI34">
        <v>6</v>
      </c>
      <c r="AJ34">
        <v>6</v>
      </c>
      <c r="AK34">
        <v>6</v>
      </c>
      <c r="AL34">
        <v>6</v>
      </c>
      <c r="AM34">
        <v>6</v>
      </c>
      <c r="AN34">
        <v>6</v>
      </c>
      <c r="AO34">
        <v>6</v>
      </c>
      <c r="AP34">
        <v>6</v>
      </c>
      <c r="AZ34">
        <v>4</v>
      </c>
      <c r="BG34">
        <v>4</v>
      </c>
    </row>
    <row r="35" spans="15:59" x14ac:dyDescent="0.25">
      <c r="O35">
        <v>6</v>
      </c>
      <c r="AH35">
        <v>6</v>
      </c>
      <c r="AI35">
        <v>6</v>
      </c>
      <c r="AJ35">
        <v>6</v>
      </c>
      <c r="AK35">
        <v>6</v>
      </c>
      <c r="AL35">
        <v>6</v>
      </c>
      <c r="AM35">
        <v>6</v>
      </c>
      <c r="AN35">
        <v>6</v>
      </c>
      <c r="AO35">
        <v>6</v>
      </c>
      <c r="AP35">
        <v>6</v>
      </c>
      <c r="AZ35">
        <v>5</v>
      </c>
      <c r="BG35">
        <v>4</v>
      </c>
    </row>
    <row r="36" spans="15:59" x14ac:dyDescent="0.25">
      <c r="O36">
        <v>6</v>
      </c>
      <c r="AH36">
        <v>6</v>
      </c>
      <c r="AI36">
        <v>6</v>
      </c>
      <c r="AJ36">
        <v>6</v>
      </c>
      <c r="AK36">
        <v>6</v>
      </c>
      <c r="AL36">
        <v>6</v>
      </c>
      <c r="AM36">
        <v>6</v>
      </c>
      <c r="AN36">
        <v>6</v>
      </c>
      <c r="AO36">
        <v>6</v>
      </c>
      <c r="AP36">
        <v>6</v>
      </c>
      <c r="BG36">
        <v>5</v>
      </c>
    </row>
    <row r="37" spans="15:59" x14ac:dyDescent="0.25">
      <c r="O37">
        <v>7</v>
      </c>
      <c r="AH37">
        <v>6</v>
      </c>
      <c r="AI37">
        <v>6</v>
      </c>
      <c r="AJ37">
        <v>6</v>
      </c>
      <c r="AK37">
        <v>6</v>
      </c>
      <c r="AL37">
        <v>6</v>
      </c>
      <c r="AM37">
        <v>6</v>
      </c>
      <c r="AN37">
        <v>6</v>
      </c>
      <c r="AO37">
        <v>6</v>
      </c>
      <c r="AP37">
        <v>6</v>
      </c>
      <c r="BG37">
        <v>5</v>
      </c>
    </row>
    <row r="38" spans="15:59" x14ac:dyDescent="0.25">
      <c r="O38">
        <v>7</v>
      </c>
      <c r="AH38">
        <v>6</v>
      </c>
      <c r="AI38">
        <v>6</v>
      </c>
      <c r="AJ38">
        <v>6</v>
      </c>
      <c r="AK38">
        <v>6</v>
      </c>
      <c r="AL38">
        <v>6</v>
      </c>
      <c r="AM38">
        <v>6</v>
      </c>
      <c r="AN38">
        <v>6</v>
      </c>
      <c r="AO38">
        <v>6</v>
      </c>
      <c r="AP38">
        <v>6</v>
      </c>
      <c r="BG38">
        <v>5</v>
      </c>
    </row>
    <row r="39" spans="15:59" x14ac:dyDescent="0.25">
      <c r="AH39">
        <v>6</v>
      </c>
      <c r="AI39">
        <v>6</v>
      </c>
      <c r="AJ39">
        <v>6</v>
      </c>
      <c r="AK39">
        <v>6</v>
      </c>
      <c r="AL39">
        <v>6</v>
      </c>
      <c r="AM39">
        <v>6</v>
      </c>
      <c r="AN39">
        <v>6</v>
      </c>
      <c r="AO39">
        <v>6</v>
      </c>
      <c r="AP39">
        <v>6</v>
      </c>
    </row>
    <row r="40" spans="15:59" x14ac:dyDescent="0.25">
      <c r="AH40">
        <v>6</v>
      </c>
      <c r="AI40">
        <v>6</v>
      </c>
      <c r="AJ40">
        <v>6</v>
      </c>
      <c r="AK40">
        <v>6</v>
      </c>
      <c r="AL40">
        <v>6</v>
      </c>
      <c r="AM40">
        <v>6</v>
      </c>
      <c r="AN40">
        <v>6</v>
      </c>
      <c r="AO40">
        <v>6</v>
      </c>
      <c r="AP40">
        <v>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Q309"/>
  <sheetViews>
    <sheetView workbookViewId="0">
      <selection activeCell="B16" sqref="B16"/>
    </sheetView>
  </sheetViews>
  <sheetFormatPr defaultRowHeight="15" x14ac:dyDescent="0.25"/>
  <cols>
    <col min="1" max="1" width="43.28515625" customWidth="1"/>
    <col min="2" max="2" width="15.5703125" customWidth="1"/>
    <col min="3" max="3" width="9.140625" customWidth="1"/>
    <col min="5" max="5" width="19.42578125" customWidth="1"/>
    <col min="7" max="7" width="11" customWidth="1"/>
  </cols>
  <sheetData>
    <row r="1" spans="1:11" x14ac:dyDescent="0.25">
      <c r="C1" t="s">
        <v>180</v>
      </c>
    </row>
    <row r="2" spans="1:11" x14ac:dyDescent="0.25">
      <c r="B2">
        <f>3.5+6+10+13+14+5</f>
        <v>51.5</v>
      </c>
      <c r="C2" t="s">
        <v>161</v>
      </c>
      <c r="F2">
        <f>(F7+3+13+12+6+1)*10+(3.5+5+3.5+5+3.5+5)*0.55*10</f>
        <v>540.25</v>
      </c>
      <c r="G2">
        <f>(G7+3+13+12+6+1)*10+(3.5+5+3.5+5+3.5+5)*0.25*10</f>
        <v>463.75</v>
      </c>
      <c r="H2" t="s">
        <v>179</v>
      </c>
    </row>
    <row r="3" spans="1:11" x14ac:dyDescent="0.25">
      <c r="A3" s="10" t="s">
        <v>173</v>
      </c>
      <c r="B3">
        <f>(3.5+2+7+6+3.5+5+3.5+5+3.5+5+1)*10</f>
        <v>450</v>
      </c>
      <c r="C3" s="6" t="s">
        <v>158</v>
      </c>
      <c r="D3">
        <f>(3.5+2+7+6+(3.5+5+3.5+5+3.5+5)*0.5+1)*10</f>
        <v>322.5</v>
      </c>
      <c r="F3">
        <f>(3.5+6+2+2+2+2+2+2+7)*10</f>
        <v>285</v>
      </c>
      <c r="G3">
        <f>(3.5+5+3.5+5)*0.25*10</f>
        <v>42.5</v>
      </c>
      <c r="H3" t="s">
        <v>155</v>
      </c>
      <c r="I3">
        <v>7</v>
      </c>
    </row>
    <row r="4" spans="1:11" x14ac:dyDescent="0.25">
      <c r="A4" s="10" t="s">
        <v>150</v>
      </c>
      <c r="B4">
        <f>(3.5+6+2+2+2+2+2+2+7)*10</f>
        <v>285</v>
      </c>
      <c r="C4" s="7" t="s">
        <v>159</v>
      </c>
      <c r="D4">
        <f>(3.5+6+7+10+2)*10</f>
        <v>285</v>
      </c>
      <c r="E4" s="7" t="s">
        <v>140</v>
      </c>
      <c r="F4">
        <f>10*(3.5+12+2+7+2.5+1)</f>
        <v>280</v>
      </c>
      <c r="H4" t="s">
        <v>91</v>
      </c>
      <c r="I4">
        <v>2</v>
      </c>
    </row>
    <row r="5" spans="1:11" x14ac:dyDescent="0.25">
      <c r="A5" s="10" t="s">
        <v>38</v>
      </c>
      <c r="B5">
        <f>10*(3.5+12+2+7+2.5+1)</f>
        <v>280</v>
      </c>
      <c r="C5" s="12" t="s">
        <v>160</v>
      </c>
      <c r="E5" s="8" t="s">
        <v>141</v>
      </c>
      <c r="F5">
        <f>3.5*1/3</f>
        <v>1.1666666666666667</v>
      </c>
      <c r="G5">
        <f>(3.5+5+3.5+5)*0.55*10</f>
        <v>93.500000000000014</v>
      </c>
      <c r="H5" t="s">
        <v>162</v>
      </c>
      <c r="I5">
        <v>1</v>
      </c>
    </row>
    <row r="6" spans="1:11" x14ac:dyDescent="0.25">
      <c r="A6" s="11" t="s">
        <v>40</v>
      </c>
      <c r="B6">
        <f>10*(3.5+3+10+9+1)</f>
        <v>265</v>
      </c>
      <c r="C6" s="6" t="s">
        <v>158</v>
      </c>
      <c r="E6" s="4" t="s">
        <v>157</v>
      </c>
      <c r="F6">
        <f>6*4/6</f>
        <v>4</v>
      </c>
    </row>
    <row r="7" spans="1:11" x14ac:dyDescent="0.25">
      <c r="A7" s="5" t="s">
        <v>4</v>
      </c>
      <c r="B7">
        <f>(((6+6*6)/2)+2+3)*10</f>
        <v>260</v>
      </c>
      <c r="D7">
        <f>(F7+3+13+12+12)*10</f>
        <v>450</v>
      </c>
      <c r="E7" s="3" t="s">
        <v>142</v>
      </c>
      <c r="F7">
        <v>5</v>
      </c>
      <c r="G7">
        <f>F7</f>
        <v>5</v>
      </c>
      <c r="H7" t="s">
        <v>166</v>
      </c>
    </row>
    <row r="8" spans="1:11" x14ac:dyDescent="0.25">
      <c r="A8" s="11" t="s">
        <v>36</v>
      </c>
      <c r="B8">
        <f>10*(5+2+2+2+2+2+2+2+7)</f>
        <v>260</v>
      </c>
    </row>
    <row r="9" spans="1:11" x14ac:dyDescent="0.25">
      <c r="A9" s="11" t="s">
        <v>37</v>
      </c>
      <c r="B9">
        <f>10*(5+3+14+2)</f>
        <v>240</v>
      </c>
      <c r="C9" s="7" t="s">
        <v>159</v>
      </c>
      <c r="D9">
        <f>4.5*1/3</f>
        <v>1.5</v>
      </c>
      <c r="E9" s="10" t="s">
        <v>150</v>
      </c>
      <c r="F9">
        <f>(3.5+6+3+2+2+2+2+2+10)*10</f>
        <v>325</v>
      </c>
    </row>
    <row r="10" spans="1:11" x14ac:dyDescent="0.25">
      <c r="A10" s="11" t="s">
        <v>41</v>
      </c>
      <c r="B10">
        <f>10*(3.5+2+2+2+2+2+9)</f>
        <v>225</v>
      </c>
      <c r="C10" s="12" t="s">
        <v>160</v>
      </c>
      <c r="D10">
        <f>8*4/6</f>
        <v>5.333333333333333</v>
      </c>
      <c r="E10" s="8" t="s">
        <v>151</v>
      </c>
      <c r="F10">
        <f>(3.5+6+3+2+2+2+2+2+14)*9+(5+3+3+14)</f>
        <v>353.5</v>
      </c>
      <c r="H10">
        <f>0.75^6</f>
        <v>0.177978515625</v>
      </c>
      <c r="I10">
        <f>0.85^10</f>
        <v>0.19687440434072256</v>
      </c>
      <c r="K10">
        <f>17/25</f>
        <v>0.68</v>
      </c>
    </row>
    <row r="11" spans="1:11" x14ac:dyDescent="0.25">
      <c r="A11" s="11" t="s">
        <v>143</v>
      </c>
      <c r="B11">
        <f>(3.5+4+1+1+1+2+7)*10</f>
        <v>195</v>
      </c>
      <c r="C11" s="7" t="s">
        <v>159</v>
      </c>
      <c r="D11">
        <v>5</v>
      </c>
      <c r="E11" s="11" t="s">
        <v>36</v>
      </c>
      <c r="F11">
        <f>10*(5+2+3+2+2+2+2+2+10)</f>
        <v>300</v>
      </c>
      <c r="H11">
        <f>0.9^10</f>
        <v>0.34867844010000015</v>
      </c>
    </row>
    <row r="12" spans="1:11" x14ac:dyDescent="0.25">
      <c r="A12" s="10" t="s">
        <v>174</v>
      </c>
      <c r="B12">
        <f>(3.5+2+7+6+1)*10</f>
        <v>195</v>
      </c>
      <c r="E12" s="8" t="s">
        <v>149</v>
      </c>
      <c r="F12">
        <f>(3.5+6+3+2+2+2+2+2+10+4)*8+(4.5+2+3+10+4)</f>
        <v>315.5</v>
      </c>
      <c r="H12">
        <f>(8.5+4*8)*10</f>
        <v>405</v>
      </c>
      <c r="I12">
        <f>(4.5+4*8)*6</f>
        <v>219</v>
      </c>
      <c r="J12">
        <f>(3.5+12+4*8)*8</f>
        <v>380</v>
      </c>
    </row>
    <row r="13" spans="1:11" x14ac:dyDescent="0.25">
      <c r="A13" s="8" t="s">
        <v>171</v>
      </c>
      <c r="B13">
        <f>(3.5+2+7+6+3.5+5+3.5+5+3.5+5+1)*4</f>
        <v>180</v>
      </c>
      <c r="C13" s="6" t="s">
        <v>158</v>
      </c>
      <c r="D13">
        <f>(6+6+6+6+6+6+3.5+3.5+3.5+3.5)/10</f>
        <v>5</v>
      </c>
      <c r="H13">
        <f>(5.5+6+10+2+4*8)*10</f>
        <v>555</v>
      </c>
      <c r="I13">
        <f>(5.5+6+10+2+4*8)*10</f>
        <v>555</v>
      </c>
      <c r="J13">
        <f>(5.5+6+10+2+4*8)*10</f>
        <v>555</v>
      </c>
    </row>
    <row r="14" spans="1:11" x14ac:dyDescent="0.25">
      <c r="A14" s="11" t="s">
        <v>39</v>
      </c>
      <c r="B14">
        <f>10*(8.5+9)</f>
        <v>175</v>
      </c>
      <c r="D14">
        <f>(8*6+4.5*4)/10</f>
        <v>6.6</v>
      </c>
      <c r="E14">
        <f>7-4-4-5-3</f>
        <v>-9</v>
      </c>
      <c r="F14">
        <f>7-4-4-5-3</f>
        <v>-9</v>
      </c>
      <c r="H14">
        <f>H13/H12</f>
        <v>1.3703703703703705</v>
      </c>
      <c r="I14">
        <f>I13/I12</f>
        <v>2.5342465753424657</v>
      </c>
      <c r="J14">
        <f>J13/J12</f>
        <v>1.4605263157894737</v>
      </c>
    </row>
    <row r="15" spans="1:11" x14ac:dyDescent="0.25">
      <c r="A15" s="8" t="s">
        <v>151</v>
      </c>
      <c r="B15">
        <f>(3.5+6+2+2+2+2+2+2+14)*4+(5+3+2+14)</f>
        <v>166</v>
      </c>
      <c r="C15" s="7" t="s">
        <v>159</v>
      </c>
      <c r="D15">
        <f>10*6*(6.5+6.5*0.3)</f>
        <v>506.99999999999994</v>
      </c>
      <c r="E15">
        <f>0-4-5-7-3</f>
        <v>-19</v>
      </c>
      <c r="F15">
        <f>2-3-4-5</f>
        <v>-10</v>
      </c>
    </row>
    <row r="16" spans="1:11" x14ac:dyDescent="0.25">
      <c r="A16" s="5" t="s">
        <v>163</v>
      </c>
      <c r="B16">
        <f>(((3+3*6)/2)+2+3)*10</f>
        <v>155</v>
      </c>
    </row>
    <row r="17" spans="1:19" x14ac:dyDescent="0.25">
      <c r="A17" s="8" t="s">
        <v>149</v>
      </c>
      <c r="B17">
        <f>(3.5+6+2+2+2+2+2+2+7)*5+(4.5+2+2)</f>
        <v>151</v>
      </c>
      <c r="D17">
        <f>(F7+6+13+3+12)*8*2+(10*8)+(D11+2+13+3+12)*2*2</f>
        <v>844</v>
      </c>
      <c r="E17" t="s">
        <v>1482</v>
      </c>
    </row>
    <row r="18" spans="1:19" x14ac:dyDescent="0.25">
      <c r="A18" s="3" t="s">
        <v>8</v>
      </c>
      <c r="B18">
        <f>(((6+6*6)/2)+2+1)*6</f>
        <v>144</v>
      </c>
      <c r="D18">
        <f>(5+6+3+13+12)*10*1.05+(10*10)</f>
        <v>509.5</v>
      </c>
      <c r="E18" t="s">
        <v>1483</v>
      </c>
      <c r="F18" t="s">
        <v>33</v>
      </c>
      <c r="H18" t="s">
        <v>32</v>
      </c>
      <c r="J18" t="s">
        <v>29</v>
      </c>
      <c r="N18" t="s">
        <v>31</v>
      </c>
      <c r="Q18" t="s">
        <v>30</v>
      </c>
      <c r="S18" t="s">
        <v>29</v>
      </c>
    </row>
    <row r="19" spans="1:19" x14ac:dyDescent="0.25">
      <c r="A19" s="7" t="s">
        <v>42</v>
      </c>
      <c r="B19">
        <f>5*(4.5+2+2+2+2+2+2+9)+4.5+2+9</f>
        <v>143</v>
      </c>
      <c r="D19">
        <f>(5+12+3+7)*10*5+(12*10)</f>
        <v>1470</v>
      </c>
      <c r="F19" t="s">
        <v>28</v>
      </c>
      <c r="H19" t="s">
        <v>27</v>
      </c>
      <c r="J19" t="s">
        <v>26</v>
      </c>
      <c r="N19" t="s">
        <v>25</v>
      </c>
      <c r="Q19" t="s">
        <v>24</v>
      </c>
    </row>
    <row r="20" spans="1:19" x14ac:dyDescent="0.25">
      <c r="A20" s="7" t="s">
        <v>46</v>
      </c>
      <c r="B20">
        <f>5*(5+3+14+2)+(3.5+2+2+14)</f>
        <v>141.5</v>
      </c>
      <c r="F20" t="s">
        <v>23</v>
      </c>
      <c r="H20" t="s">
        <v>22</v>
      </c>
      <c r="J20" t="s">
        <v>21</v>
      </c>
      <c r="N20" t="s">
        <v>20</v>
      </c>
      <c r="Q20" t="s">
        <v>19</v>
      </c>
    </row>
    <row r="21" spans="1:19" x14ac:dyDescent="0.25">
      <c r="A21" s="8" t="s">
        <v>154</v>
      </c>
      <c r="B21">
        <f>(3.5+6+2+2+2+2+2+2+7)*4+(4+2+2+10+7)</f>
        <v>139</v>
      </c>
      <c r="E21">
        <f>6*4*5+2*5*6+1</f>
        <v>181</v>
      </c>
      <c r="F21" t="s">
        <v>17</v>
      </c>
      <c r="H21" t="s">
        <v>17</v>
      </c>
      <c r="J21" t="s">
        <v>16</v>
      </c>
      <c r="N21" t="s">
        <v>15</v>
      </c>
      <c r="Q21" t="s">
        <v>14</v>
      </c>
    </row>
    <row r="22" spans="1:19" x14ac:dyDescent="0.25">
      <c r="A22" s="8" t="s">
        <v>153</v>
      </c>
      <c r="B22">
        <f>(3.5+6+2+2+2+2+2+2+7)*4+(3.5+2+2+7+8)</f>
        <v>136.5</v>
      </c>
      <c r="C22" s="7" t="s">
        <v>159</v>
      </c>
      <c r="E22">
        <f>E21*4</f>
        <v>724</v>
      </c>
      <c r="F22" t="s">
        <v>12</v>
      </c>
      <c r="H22" t="s">
        <v>12</v>
      </c>
      <c r="J22" t="s">
        <v>11</v>
      </c>
      <c r="N22" t="s">
        <v>10</v>
      </c>
      <c r="Q22" t="s">
        <v>9</v>
      </c>
    </row>
    <row r="23" spans="1:19" x14ac:dyDescent="0.25">
      <c r="A23" s="8" t="s">
        <v>152</v>
      </c>
      <c r="B23">
        <f>(3.5+6+2+2+2+2+2+2+7)*4+(5.5+3+2+7)</f>
        <v>131.5</v>
      </c>
      <c r="E23">
        <f>40*0.6</f>
        <v>24</v>
      </c>
      <c r="F23" t="s">
        <v>7</v>
      </c>
      <c r="H23" t="s">
        <v>7</v>
      </c>
      <c r="J23" t="s">
        <v>6</v>
      </c>
      <c r="N23" t="s">
        <v>5</v>
      </c>
    </row>
    <row r="24" spans="1:19" x14ac:dyDescent="0.25">
      <c r="A24" s="7" t="s">
        <v>145</v>
      </c>
      <c r="B24">
        <f>(3.5+4+1+1+1+2+14)*4+(5+3+2+14)</f>
        <v>130</v>
      </c>
      <c r="C24" s="7" t="s">
        <v>159</v>
      </c>
      <c r="E24">
        <f>(3+3+3+2+2+E22)*10+(3+3+3+2+E22)*10*5</f>
        <v>44120</v>
      </c>
      <c r="F24" t="s">
        <v>3</v>
      </c>
      <c r="H24" t="s">
        <v>3</v>
      </c>
      <c r="N24" t="s">
        <v>2</v>
      </c>
    </row>
    <row r="25" spans="1:19" x14ac:dyDescent="0.25">
      <c r="A25" s="7" t="s">
        <v>48</v>
      </c>
      <c r="B25">
        <f>5*(3.5+2+2+2+2+2+9)+4.5+2+9</f>
        <v>128</v>
      </c>
      <c r="C25" s="6" t="s">
        <v>158</v>
      </c>
      <c r="E25">
        <f>(3+3+3+2+2+181*4)*10+(3+3+3+2+181*4)*10*5</f>
        <v>44120</v>
      </c>
      <c r="F25" t="s">
        <v>1</v>
      </c>
      <c r="N25" t="s">
        <v>0</v>
      </c>
    </row>
    <row r="26" spans="1:19" x14ac:dyDescent="0.25">
      <c r="A26" s="7" t="s">
        <v>156</v>
      </c>
      <c r="B26">
        <f>(3.5+2+2+7+8)+(4+2+2+10+7)*4</f>
        <v>122.5</v>
      </c>
      <c r="F26">
        <f>50*(8+18+3)+10*(14+4)</f>
        <v>1630</v>
      </c>
      <c r="H26">
        <f>70*(1+18+3)+10*(14+4)</f>
        <v>1720</v>
      </c>
      <c r="J26">
        <f>5*1048</f>
        <v>5240</v>
      </c>
      <c r="N26">
        <f>3*(160)+120+3*120</f>
        <v>960</v>
      </c>
      <c r="Q26">
        <f>7*120</f>
        <v>840</v>
      </c>
    </row>
    <row r="27" spans="1:19" x14ac:dyDescent="0.25">
      <c r="A27" s="7" t="s">
        <v>43</v>
      </c>
      <c r="B27">
        <f>(5+3+14+2)+(5.5+3+2+14)*4</f>
        <v>122</v>
      </c>
      <c r="M27" t="s">
        <v>206</v>
      </c>
      <c r="N27">
        <f>((20+20*8)/2)*3+((20+20*6)/2)*3</f>
        <v>480</v>
      </c>
    </row>
    <row r="28" spans="1:19" x14ac:dyDescent="0.25">
      <c r="A28" s="7" t="s">
        <v>148</v>
      </c>
      <c r="B28">
        <f>(3.5+4+1+1+1+2+7)+(4+2+2+10+7)*4</f>
        <v>119.5</v>
      </c>
    </row>
    <row r="29" spans="1:19" x14ac:dyDescent="0.25">
      <c r="A29" s="11" t="s">
        <v>49</v>
      </c>
      <c r="B29">
        <f>9*(2.5+5+5.5)</f>
        <v>117</v>
      </c>
      <c r="C29" s="12" t="s">
        <v>160</v>
      </c>
      <c r="I29">
        <f>6*5+6*3</f>
        <v>48</v>
      </c>
    </row>
    <row r="30" spans="1:19" x14ac:dyDescent="0.25">
      <c r="A30" s="11" t="s">
        <v>34</v>
      </c>
      <c r="B30">
        <f>(3.5+1+3+2+2)*10</f>
        <v>115</v>
      </c>
      <c r="I30">
        <f>I29*4</f>
        <v>192</v>
      </c>
      <c r="M30" t="s">
        <v>207</v>
      </c>
    </row>
    <row r="31" spans="1:19" x14ac:dyDescent="0.25">
      <c r="A31" s="8" t="s">
        <v>44</v>
      </c>
      <c r="B31">
        <f>4*(3.5+12+9+2.5+1)</f>
        <v>112</v>
      </c>
      <c r="C31" s="12" t="s">
        <v>160</v>
      </c>
      <c r="I31">
        <f>40*0.6</f>
        <v>24</v>
      </c>
      <c r="N31">
        <v>960</v>
      </c>
    </row>
    <row r="32" spans="1:19" x14ac:dyDescent="0.25">
      <c r="A32" s="7" t="s">
        <v>147</v>
      </c>
      <c r="B32">
        <f>(3.5+4+1+1+1+2+7)+(3.5+2+2+7+8)*4</f>
        <v>109.5</v>
      </c>
      <c r="C32" s="7" t="s">
        <v>159</v>
      </c>
      <c r="I32">
        <f>(3+3+3+2+2+I30)*10+(3+3+3+2+I30)*10*5</f>
        <v>12200</v>
      </c>
      <c r="N32">
        <f>50*7</f>
        <v>350</v>
      </c>
    </row>
    <row r="33" spans="1:14" x14ac:dyDescent="0.25">
      <c r="A33" s="7" t="s">
        <v>47</v>
      </c>
      <c r="B33">
        <f>4*(3.5+3+10+9+1)</f>
        <v>106</v>
      </c>
      <c r="C33" s="6" t="s">
        <v>158</v>
      </c>
      <c r="I33">
        <f>(3+3+3+2+2+192)*10</f>
        <v>2050</v>
      </c>
      <c r="N33">
        <v>90</v>
      </c>
    </row>
    <row r="34" spans="1:14" x14ac:dyDescent="0.25">
      <c r="A34" s="7" t="s">
        <v>45</v>
      </c>
      <c r="B34">
        <f>5*(5.5+3+2+7)+(4.5+2+2+7)</f>
        <v>103</v>
      </c>
      <c r="E34" t="s">
        <v>198</v>
      </c>
      <c r="F34">
        <f>4*(10.5+7)</f>
        <v>70</v>
      </c>
      <c r="N34">
        <f>110*6</f>
        <v>660</v>
      </c>
    </row>
    <row r="35" spans="1:14" x14ac:dyDescent="0.25">
      <c r="A35" s="7" t="s">
        <v>146</v>
      </c>
      <c r="B35">
        <f>(3.5+4+1+1+1+2+7)*4+(5.5+3+2+7)</f>
        <v>95.5</v>
      </c>
      <c r="E35" t="s">
        <v>199</v>
      </c>
      <c r="F35">
        <f>10*(10.5+7)</f>
        <v>175</v>
      </c>
      <c r="N35">
        <f>60*6</f>
        <v>360</v>
      </c>
    </row>
    <row r="36" spans="1:14" x14ac:dyDescent="0.25">
      <c r="A36" s="11" t="s">
        <v>13</v>
      </c>
      <c r="B36">
        <f>(3.5+1+1+2+2)*10</f>
        <v>95</v>
      </c>
      <c r="E36" s="7" t="s">
        <v>195</v>
      </c>
      <c r="F36" s="7">
        <f>6.5*5</f>
        <v>32.5</v>
      </c>
      <c r="N36">
        <f>SUM(N31:N35)</f>
        <v>2420</v>
      </c>
    </row>
    <row r="37" spans="1:14" x14ac:dyDescent="0.25">
      <c r="A37" s="7" t="s">
        <v>144</v>
      </c>
      <c r="B37">
        <f>(3.5+4+1+1+1+2+7)*4+(4.5+2+2+7)</f>
        <v>93.5</v>
      </c>
      <c r="E37" s="7" t="s">
        <v>196</v>
      </c>
      <c r="F37" s="7">
        <f>13*5</f>
        <v>65</v>
      </c>
      <c r="M37" t="s">
        <v>208</v>
      </c>
      <c r="N37">
        <f>N36*6</f>
        <v>14520</v>
      </c>
    </row>
    <row r="38" spans="1:14" x14ac:dyDescent="0.25">
      <c r="A38" s="3" t="s">
        <v>164</v>
      </c>
      <c r="B38">
        <f>(((3+3*6)/2)+2+1)*6</f>
        <v>81</v>
      </c>
      <c r="E38" s="7" t="s">
        <v>200</v>
      </c>
      <c r="F38" s="7">
        <f>6.5*10</f>
        <v>65</v>
      </c>
      <c r="H38">
        <f>9*8/2+2*9/2+6*10/2+2*8/2</f>
        <v>83</v>
      </c>
    </row>
    <row r="39" spans="1:14" x14ac:dyDescent="0.25">
      <c r="A39" s="8" t="s">
        <v>172</v>
      </c>
      <c r="B39">
        <f>(3.5+2+7+6+1)*4</f>
        <v>78</v>
      </c>
      <c r="C39" s="6" t="s">
        <v>158</v>
      </c>
      <c r="E39" s="7" t="s">
        <v>197</v>
      </c>
      <c r="F39" s="7">
        <f>13*10</f>
        <v>130</v>
      </c>
      <c r="H39">
        <f>9*8/2+6*10/2</f>
        <v>66</v>
      </c>
    </row>
    <row r="40" spans="1:14" x14ac:dyDescent="0.25">
      <c r="A40" s="7" t="s">
        <v>35</v>
      </c>
      <c r="B40">
        <f>(3.5+1+3+2+2)*5</f>
        <v>57.5</v>
      </c>
    </row>
    <row r="41" spans="1:14" x14ac:dyDescent="0.25">
      <c r="A41" s="7" t="s">
        <v>18</v>
      </c>
      <c r="B41">
        <f>(3.5+1+1+2+2)*6</f>
        <v>57</v>
      </c>
      <c r="J41">
        <v>11</v>
      </c>
      <c r="K41">
        <v>12</v>
      </c>
      <c r="L41">
        <v>14</v>
      </c>
    </row>
    <row r="42" spans="1:14" x14ac:dyDescent="0.25">
      <c r="J42">
        <v>16</v>
      </c>
      <c r="K42">
        <v>17</v>
      </c>
      <c r="L42">
        <v>20</v>
      </c>
    </row>
    <row r="43" spans="1:14" x14ac:dyDescent="0.25">
      <c r="J43">
        <f>J41-J42</f>
        <v>-5</v>
      </c>
      <c r="K43">
        <f>K41-K42</f>
        <v>-5</v>
      </c>
      <c r="L43">
        <f>L41-L42</f>
        <v>-6</v>
      </c>
      <c r="M43">
        <f>SUM(J43:L43)</f>
        <v>-16</v>
      </c>
    </row>
    <row r="44" spans="1:14" x14ac:dyDescent="0.25">
      <c r="A44" s="7" t="s">
        <v>165</v>
      </c>
      <c r="C44" t="s">
        <v>161</v>
      </c>
    </row>
    <row r="45" spans="1:14" x14ac:dyDescent="0.25">
      <c r="A45" s="10" t="s">
        <v>173</v>
      </c>
      <c r="B45">
        <f>(3.5+2+7+6+3.5+5+3.5+5+3.5+5+1)*10</f>
        <v>450</v>
      </c>
      <c r="C45" s="6" t="s">
        <v>158</v>
      </c>
    </row>
    <row r="46" spans="1:14" x14ac:dyDescent="0.25">
      <c r="A46" s="10" t="s">
        <v>150</v>
      </c>
      <c r="B46">
        <f>(3.5+6+2+2+2+2+2+2+7)*10</f>
        <v>285</v>
      </c>
      <c r="C46" s="7" t="s">
        <v>159</v>
      </c>
      <c r="E46" t="s">
        <v>175</v>
      </c>
    </row>
    <row r="47" spans="1:14" x14ac:dyDescent="0.25">
      <c r="A47" s="10" t="s">
        <v>38</v>
      </c>
      <c r="B47">
        <f>10*(3.5+12+9+2.5+1)</f>
        <v>280</v>
      </c>
      <c r="C47" s="12" t="s">
        <v>160</v>
      </c>
      <c r="E47" s="6" t="s">
        <v>167</v>
      </c>
    </row>
    <row r="48" spans="1:14" x14ac:dyDescent="0.25">
      <c r="A48" s="11" t="s">
        <v>40</v>
      </c>
      <c r="B48">
        <f>10*(3.5+3+10+9+1)</f>
        <v>265</v>
      </c>
      <c r="C48" s="6" t="s">
        <v>158</v>
      </c>
      <c r="E48" s="6" t="s">
        <v>168</v>
      </c>
    </row>
    <row r="49" spans="1:6" x14ac:dyDescent="0.25">
      <c r="A49" s="8" t="s">
        <v>171</v>
      </c>
      <c r="B49">
        <f>(3.5+2+7+6+3.5+5+3.5+5+3.5+5)*6</f>
        <v>264</v>
      </c>
      <c r="C49" s="6" t="s">
        <v>158</v>
      </c>
      <c r="E49" s="7" t="s">
        <v>169</v>
      </c>
    </row>
    <row r="50" spans="1:6" x14ac:dyDescent="0.25">
      <c r="A50" s="5" t="s">
        <v>4</v>
      </c>
      <c r="B50">
        <f>(((6+6*6)/2)+2+3)*10</f>
        <v>260</v>
      </c>
      <c r="E50" s="7" t="s">
        <v>170</v>
      </c>
    </row>
    <row r="51" spans="1:6" x14ac:dyDescent="0.25">
      <c r="A51" s="11" t="s">
        <v>36</v>
      </c>
      <c r="B51">
        <f>10*(4.5+2+2+2+2+2+2+9)</f>
        <v>255</v>
      </c>
    </row>
    <row r="52" spans="1:6" x14ac:dyDescent="0.25">
      <c r="A52" s="11" t="s">
        <v>37</v>
      </c>
      <c r="B52">
        <f>10*(5+3+14+2)</f>
        <v>240</v>
      </c>
      <c r="C52" s="7" t="s">
        <v>159</v>
      </c>
      <c r="E52" t="s">
        <v>176</v>
      </c>
    </row>
    <row r="53" spans="1:6" x14ac:dyDescent="0.25">
      <c r="A53" s="8" t="s">
        <v>151</v>
      </c>
      <c r="B53">
        <f>(3.5+6+2+2+2+2+2+2+14)*6+(5+3+2+14)</f>
        <v>237</v>
      </c>
      <c r="C53" s="7" t="s">
        <v>159</v>
      </c>
      <c r="E53" s="6" t="s">
        <v>167</v>
      </c>
    </row>
    <row r="54" spans="1:6" x14ac:dyDescent="0.25">
      <c r="A54" s="8" t="s">
        <v>149</v>
      </c>
      <c r="B54">
        <f>(3.5+6+2+2+2+2+2+2+7)*8+(4.5+2+2)</f>
        <v>236.5</v>
      </c>
      <c r="E54" s="6" t="s">
        <v>168</v>
      </c>
    </row>
    <row r="55" spans="1:6" x14ac:dyDescent="0.25">
      <c r="A55" s="11" t="s">
        <v>41</v>
      </c>
      <c r="B55">
        <f>10*(3.5+2+2+2+2+2+9)</f>
        <v>225</v>
      </c>
      <c r="C55" s="12" t="s">
        <v>160</v>
      </c>
      <c r="E55" s="6" t="s">
        <v>177</v>
      </c>
    </row>
    <row r="56" spans="1:6" x14ac:dyDescent="0.25">
      <c r="A56" s="7" t="s">
        <v>42</v>
      </c>
      <c r="B56">
        <f>8*(4.5+2+10+7+2)+(4.5+2+2+7)</f>
        <v>219.5</v>
      </c>
      <c r="E56" s="6" t="s">
        <v>178</v>
      </c>
    </row>
    <row r="57" spans="1:6" x14ac:dyDescent="0.25">
      <c r="A57" s="7" t="s">
        <v>46</v>
      </c>
      <c r="B57">
        <f>8*(5+3+14+2)+(4.5+2+2+14)</f>
        <v>214.5</v>
      </c>
    </row>
    <row r="58" spans="1:6" x14ac:dyDescent="0.25">
      <c r="A58" s="8" t="s">
        <v>154</v>
      </c>
      <c r="B58">
        <f>(3.5+6+2+2+2+2+2+2+7)*6+(4+2+2+10+7)</f>
        <v>196</v>
      </c>
      <c r="E58" s="6" t="s">
        <v>181</v>
      </c>
      <c r="F58" s="9"/>
    </row>
    <row r="59" spans="1:6" x14ac:dyDescent="0.25">
      <c r="A59" s="7" t="s">
        <v>48</v>
      </c>
      <c r="B59">
        <f>8*(3.5+2+8+7+2)+(4.5+2+2+7)</f>
        <v>195.5</v>
      </c>
      <c r="C59" s="6" t="s">
        <v>158</v>
      </c>
      <c r="E59" s="12" t="s">
        <v>183</v>
      </c>
      <c r="F59" s="9"/>
    </row>
    <row r="60" spans="1:6" x14ac:dyDescent="0.25">
      <c r="A60" s="11" t="s">
        <v>143</v>
      </c>
      <c r="B60">
        <f>(3.5+4+1+1+1+2+7)*10</f>
        <v>195</v>
      </c>
      <c r="C60" s="7" t="s">
        <v>159</v>
      </c>
      <c r="E60" s="7" t="s">
        <v>184</v>
      </c>
      <c r="F60" s="9"/>
    </row>
    <row r="61" spans="1:6" x14ac:dyDescent="0.25">
      <c r="A61" s="8" t="s">
        <v>153</v>
      </c>
      <c r="B61">
        <f>(3.5+6+2+2+2+2+2+2+7)*6+(3.5+2+2+7+8)</f>
        <v>193.5</v>
      </c>
      <c r="C61" s="7" t="s">
        <v>159</v>
      </c>
      <c r="E61" s="6" t="s">
        <v>182</v>
      </c>
      <c r="F61" s="9"/>
    </row>
    <row r="62" spans="1:6" x14ac:dyDescent="0.25">
      <c r="A62" s="8" t="s">
        <v>152</v>
      </c>
      <c r="B62">
        <f>(3.5+6+2+2+2+2+2+2+7)*6+(5.5+3+2+7)</f>
        <v>188.5</v>
      </c>
      <c r="E62" s="12" t="s">
        <v>205</v>
      </c>
      <c r="F62" s="9"/>
    </row>
    <row r="63" spans="1:6" x14ac:dyDescent="0.25">
      <c r="A63" s="10" t="s">
        <v>174</v>
      </c>
      <c r="B63">
        <f>(3.5+2+7+6)*10</f>
        <v>185</v>
      </c>
      <c r="C63" s="6" t="s">
        <v>158</v>
      </c>
      <c r="E63" s="9"/>
      <c r="F63" s="9"/>
    </row>
    <row r="64" spans="1:6" x14ac:dyDescent="0.25">
      <c r="A64" s="7" t="s">
        <v>145</v>
      </c>
      <c r="B64">
        <f>(3.5+4+1+1+1+2+14)*6+(5+3+2+14)</f>
        <v>183</v>
      </c>
      <c r="C64" s="7" t="s">
        <v>159</v>
      </c>
      <c r="E64" s="9" t="s">
        <v>185</v>
      </c>
      <c r="F64" s="9"/>
    </row>
    <row r="65" spans="1:9" x14ac:dyDescent="0.25">
      <c r="A65" s="11" t="s">
        <v>39</v>
      </c>
      <c r="B65">
        <f>10*(8.5+9)</f>
        <v>175</v>
      </c>
      <c r="E65" s="6" t="s">
        <v>186</v>
      </c>
      <c r="F65" t="s">
        <v>190</v>
      </c>
    </row>
    <row r="66" spans="1:9" x14ac:dyDescent="0.25">
      <c r="A66" s="7" t="s">
        <v>156</v>
      </c>
      <c r="B66">
        <f>(3.5+2+2+7+8)+(4+2+2+10+7)*6</f>
        <v>172.5</v>
      </c>
      <c r="E66" s="7" t="s">
        <v>187</v>
      </c>
      <c r="F66" t="s">
        <v>191</v>
      </c>
    </row>
    <row r="67" spans="1:9" x14ac:dyDescent="0.25">
      <c r="A67" s="7" t="s">
        <v>144</v>
      </c>
      <c r="B67">
        <f>(3.5+4+1+1+1+2+7)*8+(4.5+2+2+7)</f>
        <v>171.5</v>
      </c>
      <c r="E67" s="6" t="s">
        <v>188</v>
      </c>
      <c r="F67" t="s">
        <v>190</v>
      </c>
    </row>
    <row r="68" spans="1:9" x14ac:dyDescent="0.25">
      <c r="A68" s="7" t="s">
        <v>43</v>
      </c>
      <c r="B68">
        <f>(5+3+14+2)+(5.5+3+2+14)*6</f>
        <v>171</v>
      </c>
      <c r="E68" s="7" t="s">
        <v>189</v>
      </c>
      <c r="F68" t="s">
        <v>191</v>
      </c>
    </row>
    <row r="69" spans="1:9" x14ac:dyDescent="0.25">
      <c r="A69" s="7" t="s">
        <v>148</v>
      </c>
      <c r="B69">
        <f>(3.5+4+1+1+1+2+7)+(4+2+2+10+7)*6</f>
        <v>169.5</v>
      </c>
    </row>
    <row r="70" spans="1:9" x14ac:dyDescent="0.25">
      <c r="A70" s="8" t="s">
        <v>44</v>
      </c>
      <c r="B70">
        <f>6*(3.5+12+9+2.5+1)</f>
        <v>168</v>
      </c>
      <c r="C70" s="12" t="s">
        <v>160</v>
      </c>
      <c r="E70" t="s">
        <v>192</v>
      </c>
    </row>
    <row r="71" spans="1:9" x14ac:dyDescent="0.25">
      <c r="A71" s="7" t="s">
        <v>47</v>
      </c>
      <c r="B71">
        <f>6*(3.5+3+10+9+1)</f>
        <v>159</v>
      </c>
      <c r="C71" s="6" t="s">
        <v>158</v>
      </c>
    </row>
    <row r="72" spans="1:9" ht="15.75" x14ac:dyDescent="0.25">
      <c r="A72" s="7" t="s">
        <v>45</v>
      </c>
      <c r="B72">
        <f>8*(5.5+2+3+7)+(4.5+2+2+7)</f>
        <v>155.5</v>
      </c>
      <c r="E72" s="13"/>
      <c r="F72" t="s">
        <v>664</v>
      </c>
    </row>
    <row r="73" spans="1:9" ht="15.75" x14ac:dyDescent="0.25">
      <c r="A73" s="5" t="s">
        <v>163</v>
      </c>
      <c r="B73">
        <f>(((3+3*6)/2)+2+3)*10</f>
        <v>155</v>
      </c>
      <c r="F73" s="13" t="s">
        <v>658</v>
      </c>
      <c r="G73" s="13" t="s">
        <v>659</v>
      </c>
      <c r="H73" s="13" t="s">
        <v>660</v>
      </c>
      <c r="I73" s="13" t="s">
        <v>661</v>
      </c>
    </row>
    <row r="74" spans="1:9" x14ac:dyDescent="0.25">
      <c r="A74" s="7" t="s">
        <v>147</v>
      </c>
      <c r="B74">
        <f>(3.5+4+1+1+1+2+7)+(3.5+2+2+7+8)*6</f>
        <v>154.5</v>
      </c>
      <c r="C74" s="7" t="s">
        <v>159</v>
      </c>
      <c r="E74" t="s">
        <v>212</v>
      </c>
      <c r="F74">
        <f>3.5+3</f>
        <v>6.5</v>
      </c>
      <c r="G74">
        <f>7+3</f>
        <v>10</v>
      </c>
      <c r="H74">
        <f>7+3</f>
        <v>10</v>
      </c>
      <c r="I74">
        <f>3.5+3</f>
        <v>6.5</v>
      </c>
    </row>
    <row r="75" spans="1:9" x14ac:dyDescent="0.25">
      <c r="A75" s="3" t="s">
        <v>8</v>
      </c>
      <c r="B75">
        <f>(((6+6*6)/2)+2+1)*6</f>
        <v>144</v>
      </c>
      <c r="E75" t="s">
        <v>155</v>
      </c>
      <c r="F75">
        <v>8</v>
      </c>
      <c r="G75">
        <v>9</v>
      </c>
      <c r="H75">
        <v>10</v>
      </c>
      <c r="I75">
        <v>14</v>
      </c>
    </row>
    <row r="76" spans="1:9" ht="15.75" x14ac:dyDescent="0.25">
      <c r="A76" s="3" t="s">
        <v>164</v>
      </c>
      <c r="B76">
        <f>(((3+3*6)/2)+2+1)*10</f>
        <v>135</v>
      </c>
      <c r="E76" s="13" t="s">
        <v>662</v>
      </c>
      <c r="F76">
        <v>1</v>
      </c>
      <c r="G76">
        <v>2</v>
      </c>
      <c r="H76">
        <v>2</v>
      </c>
      <c r="I76">
        <v>3</v>
      </c>
    </row>
    <row r="77" spans="1:9" ht="15.75" x14ac:dyDescent="0.25">
      <c r="A77" s="7" t="s">
        <v>146</v>
      </c>
      <c r="B77">
        <f>(3.5+4+1+1+1+2+7)*6+(5.5+3+2+7)</f>
        <v>134.5</v>
      </c>
      <c r="E77" s="13" t="s">
        <v>509</v>
      </c>
      <c r="F77">
        <v>2</v>
      </c>
      <c r="G77">
        <v>3</v>
      </c>
      <c r="H77">
        <v>3</v>
      </c>
      <c r="I77">
        <v>4</v>
      </c>
    </row>
    <row r="78" spans="1:9" ht="15.75" x14ac:dyDescent="0.25">
      <c r="A78" s="11" t="s">
        <v>49</v>
      </c>
      <c r="B78">
        <f>9*(2.5+5+5.5)</f>
        <v>117</v>
      </c>
      <c r="C78" s="12" t="s">
        <v>160</v>
      </c>
      <c r="E78" s="13" t="s">
        <v>231</v>
      </c>
      <c r="F78">
        <f>F74+F75+F76</f>
        <v>15.5</v>
      </c>
      <c r="G78">
        <f>G74+G75+G76</f>
        <v>21</v>
      </c>
      <c r="H78">
        <f>H74+H75+H76</f>
        <v>22</v>
      </c>
      <c r="I78">
        <f>I74+I75+I76</f>
        <v>23.5</v>
      </c>
    </row>
    <row r="79" spans="1:9" ht="15.75" x14ac:dyDescent="0.25">
      <c r="A79" s="11" t="s">
        <v>34</v>
      </c>
      <c r="B79">
        <f>(3.5+1+3+2+2)*10</f>
        <v>115</v>
      </c>
      <c r="E79" s="13" t="s">
        <v>663</v>
      </c>
      <c r="F79">
        <f>F77*F78</f>
        <v>31</v>
      </c>
      <c r="G79">
        <f>G77*G78</f>
        <v>63</v>
      </c>
      <c r="H79">
        <f>H77*H78</f>
        <v>66</v>
      </c>
      <c r="I79">
        <f>I77*I78</f>
        <v>94</v>
      </c>
    </row>
    <row r="80" spans="1:9" ht="15.75" x14ac:dyDescent="0.25">
      <c r="A80" s="8" t="s">
        <v>172</v>
      </c>
      <c r="B80">
        <f>(3.5+2+7+6)*6</f>
        <v>111</v>
      </c>
      <c r="E80" s="13"/>
    </row>
    <row r="81" spans="1:23" ht="15.75" x14ac:dyDescent="0.25">
      <c r="A81" s="11" t="s">
        <v>13</v>
      </c>
      <c r="B81">
        <f>(3.5+1+1+2+2)*10</f>
        <v>95</v>
      </c>
      <c r="E81" s="13"/>
      <c r="F81" t="s">
        <v>665</v>
      </c>
      <c r="K81">
        <f>10-2-5-2</f>
        <v>1</v>
      </c>
      <c r="M81">
        <f>2.5+2+10+2</f>
        <v>16.5</v>
      </c>
    </row>
    <row r="82" spans="1:23" x14ac:dyDescent="0.25">
      <c r="A82" s="7" t="s">
        <v>18</v>
      </c>
      <c r="B82">
        <f>(3.5+1+1+2+2)*10</f>
        <v>95</v>
      </c>
      <c r="F82" t="s">
        <v>658</v>
      </c>
      <c r="G82" t="s">
        <v>666</v>
      </c>
      <c r="H82" t="s">
        <v>661</v>
      </c>
      <c r="K82">
        <f>K81--6</f>
        <v>7</v>
      </c>
      <c r="M82">
        <f>M81*6*K84</f>
        <v>64.350000000000009</v>
      </c>
    </row>
    <row r="83" spans="1:23" ht="15.75" x14ac:dyDescent="0.25">
      <c r="E83" s="13" t="s">
        <v>212</v>
      </c>
      <c r="F83">
        <f>3.5+3</f>
        <v>6.5</v>
      </c>
      <c r="G83">
        <f>3.5+3</f>
        <v>6.5</v>
      </c>
      <c r="H83">
        <f>3.5+3</f>
        <v>6.5</v>
      </c>
      <c r="K83">
        <f>7/20</f>
        <v>0.35</v>
      </c>
    </row>
    <row r="84" spans="1:23" ht="15.75" x14ac:dyDescent="0.25">
      <c r="A84" t="s">
        <v>255</v>
      </c>
      <c r="E84" s="13" t="s">
        <v>155</v>
      </c>
      <c r="F84">
        <v>7</v>
      </c>
      <c r="G84">
        <v>9</v>
      </c>
      <c r="H84">
        <v>10</v>
      </c>
      <c r="K84">
        <f>0.65</f>
        <v>0.65</v>
      </c>
    </row>
    <row r="85" spans="1:23" ht="15.75" x14ac:dyDescent="0.25">
      <c r="A85" t="s">
        <v>251</v>
      </c>
      <c r="E85" s="13" t="s">
        <v>91</v>
      </c>
      <c r="F85">
        <v>2</v>
      </c>
      <c r="G85">
        <v>3</v>
      </c>
      <c r="H85">
        <v>3</v>
      </c>
    </row>
    <row r="86" spans="1:23" ht="15.75" x14ac:dyDescent="0.25">
      <c r="A86" s="9" t="s">
        <v>248</v>
      </c>
      <c r="B86">
        <f>(3.5+6+1+2+10+3.5+5+3.5+5+3.5+5)*2</f>
        <v>96</v>
      </c>
      <c r="E86" s="13" t="s">
        <v>509</v>
      </c>
      <c r="F86">
        <v>2</v>
      </c>
      <c r="G86">
        <v>2.5</v>
      </c>
      <c r="H86">
        <v>3</v>
      </c>
      <c r="O86" t="s">
        <v>667</v>
      </c>
      <c r="S86" t="s">
        <v>671</v>
      </c>
    </row>
    <row r="87" spans="1:23" ht="15.75" x14ac:dyDescent="0.25">
      <c r="A87" s="9" t="s">
        <v>250</v>
      </c>
      <c r="B87" s="9">
        <f>(3.5+6+2+2+2+2+2+2+14)*2</f>
        <v>71</v>
      </c>
      <c r="E87" s="13" t="s">
        <v>231</v>
      </c>
      <c r="F87">
        <f>F83+F84+F85</f>
        <v>15.5</v>
      </c>
      <c r="G87">
        <f>G83+G84+G85</f>
        <v>18.5</v>
      </c>
      <c r="H87">
        <f>H83+H84+H85</f>
        <v>19.5</v>
      </c>
      <c r="K87" t="s">
        <v>669</v>
      </c>
      <c r="O87">
        <f>11</f>
        <v>11</v>
      </c>
      <c r="Q87">
        <f>7+9</f>
        <v>16</v>
      </c>
      <c r="S87">
        <f>16-3-4</f>
        <v>9</v>
      </c>
      <c r="U87">
        <f>5.5+3+1</f>
        <v>9.5</v>
      </c>
    </row>
    <row r="88" spans="1:23" ht="15.75" x14ac:dyDescent="0.25">
      <c r="A88" s="9" t="s">
        <v>249</v>
      </c>
      <c r="B88">
        <f>(3.5+6+1+2+10)*2</f>
        <v>45</v>
      </c>
      <c r="E88" s="13" t="s">
        <v>663</v>
      </c>
      <c r="F88">
        <f>F86*F87</f>
        <v>31</v>
      </c>
      <c r="G88">
        <f>G86*G87</f>
        <v>46.25</v>
      </c>
      <c r="H88">
        <f>H86*H87</f>
        <v>58.5</v>
      </c>
      <c r="K88">
        <f>10-2-4-3</f>
        <v>1</v>
      </c>
      <c r="M88">
        <f>7+3+3+10+2</f>
        <v>25</v>
      </c>
      <c r="O88">
        <f>O87--6</f>
        <v>17</v>
      </c>
      <c r="Q88">
        <f>Q87*8*O90</f>
        <v>19.200000000000003</v>
      </c>
      <c r="S88">
        <f>S87--6</f>
        <v>15</v>
      </c>
      <c r="U88">
        <f>U87*8*S90</f>
        <v>19</v>
      </c>
    </row>
    <row r="89" spans="1:23" x14ac:dyDescent="0.25">
      <c r="A89" s="9" t="s">
        <v>494</v>
      </c>
      <c r="B89">
        <f>((3.5+6+1+2+10)+(3.5+5+3.5+5+3.5+5)*0.5)*2</f>
        <v>70.5</v>
      </c>
      <c r="K89">
        <f>K88--6</f>
        <v>7</v>
      </c>
      <c r="M89">
        <f>M88*6*K91</f>
        <v>97.5</v>
      </c>
      <c r="O89">
        <f>O88/20</f>
        <v>0.85</v>
      </c>
      <c r="S89">
        <f>S88/20</f>
        <v>0.75</v>
      </c>
    </row>
    <row r="90" spans="1:23" x14ac:dyDescent="0.25">
      <c r="K90">
        <f>7/20</f>
        <v>0.35</v>
      </c>
      <c r="O90">
        <f>1-O89</f>
        <v>0.15000000000000002</v>
      </c>
      <c r="S90">
        <f>1-S89</f>
        <v>0.25</v>
      </c>
    </row>
    <row r="91" spans="1:23" x14ac:dyDescent="0.25">
      <c r="A91" s="9" t="s">
        <v>252</v>
      </c>
      <c r="D91" t="s">
        <v>256</v>
      </c>
      <c r="K91">
        <f>0.65</f>
        <v>0.65</v>
      </c>
    </row>
    <row r="92" spans="1:23" x14ac:dyDescent="0.25">
      <c r="A92" s="9" t="s">
        <v>248</v>
      </c>
      <c r="B92">
        <f>(3.5+6+1+2+10+3.5+5+3.5+5+3.5+5)*4</f>
        <v>192</v>
      </c>
      <c r="D92" s="9" t="s">
        <v>248</v>
      </c>
      <c r="E92">
        <f>(3.5+6+1+2+10+3.5+5+3.5+5+3.5+5)*10</f>
        <v>480</v>
      </c>
      <c r="M92" t="s">
        <v>668</v>
      </c>
      <c r="Q92" t="s">
        <v>670</v>
      </c>
      <c r="U92" t="s">
        <v>672</v>
      </c>
    </row>
    <row r="93" spans="1:23" x14ac:dyDescent="0.25">
      <c r="A93" s="9" t="s">
        <v>254</v>
      </c>
      <c r="B93" s="9">
        <f>(3.5+6+2+2+2+2+2+2+14)*4+(5+5+2+14)</f>
        <v>168</v>
      </c>
      <c r="D93" s="9" t="s">
        <v>250</v>
      </c>
      <c r="E93" s="9">
        <f>(3.5+6+2+2+2+2+2+2+14)*10</f>
        <v>355</v>
      </c>
      <c r="M93">
        <f>13-1-6-2</f>
        <v>4</v>
      </c>
      <c r="O93">
        <f>2+1+2</f>
        <v>5</v>
      </c>
      <c r="Q93">
        <f>7-4-2</f>
        <v>1</v>
      </c>
      <c r="S93">
        <f>3.5+2+8+9</f>
        <v>22.5</v>
      </c>
      <c r="U93">
        <f>15-2-3</f>
        <v>10</v>
      </c>
      <c r="W93">
        <f>2+3</f>
        <v>5</v>
      </c>
    </row>
    <row r="94" spans="1:23" x14ac:dyDescent="0.25">
      <c r="A94" s="9" t="s">
        <v>249</v>
      </c>
      <c r="B94">
        <f>(3.5+6+1+2+10)*4</f>
        <v>90</v>
      </c>
      <c r="D94" s="9" t="s">
        <v>249</v>
      </c>
      <c r="E94">
        <f>(3.5+6+1+2+10)*10</f>
        <v>225</v>
      </c>
      <c r="M94">
        <f>M93--6</f>
        <v>10</v>
      </c>
      <c r="O94">
        <f>O93*8*M96</f>
        <v>20</v>
      </c>
      <c r="Q94">
        <f>Q93--6</f>
        <v>7</v>
      </c>
      <c r="S94">
        <f>S93*1*Q96</f>
        <v>14.625</v>
      </c>
      <c r="U94">
        <f>U93--6</f>
        <v>16</v>
      </c>
      <c r="W94">
        <f>W93*6*U96</f>
        <v>5.9999999999999982</v>
      </c>
    </row>
    <row r="95" spans="1:23" x14ac:dyDescent="0.25">
      <c r="A95" s="9" t="s">
        <v>48</v>
      </c>
      <c r="B95">
        <f>(3.5+2+2+2+2+2+2+10)*6+(4.5+2+2+10)</f>
        <v>171.5</v>
      </c>
      <c r="D95" s="9" t="s">
        <v>257</v>
      </c>
      <c r="E95">
        <f>(3.5+2+2+2+2+2+2+10)*10</f>
        <v>255</v>
      </c>
      <c r="M95">
        <v>0.5</v>
      </c>
      <c r="Q95">
        <f>Q94/20</f>
        <v>0.35</v>
      </c>
      <c r="U95">
        <f>U94/20</f>
        <v>0.8</v>
      </c>
    </row>
    <row r="96" spans="1:23" x14ac:dyDescent="0.25">
      <c r="A96" s="9" t="s">
        <v>266</v>
      </c>
      <c r="B96">
        <f>(4.5+2+2+10)*10</f>
        <v>185</v>
      </c>
      <c r="M96">
        <v>0.5</v>
      </c>
      <c r="Q96">
        <f>1-Q95</f>
        <v>0.65</v>
      </c>
      <c r="U96">
        <f>1-U95</f>
        <v>0.19999999999999996</v>
      </c>
    </row>
    <row r="97" spans="1:24" x14ac:dyDescent="0.25">
      <c r="E97" s="9" t="s">
        <v>258</v>
      </c>
    </row>
    <row r="98" spans="1:24" x14ac:dyDescent="0.25">
      <c r="A98" s="9" t="s">
        <v>253</v>
      </c>
      <c r="E98">
        <f>355-225</f>
        <v>130</v>
      </c>
      <c r="W98">
        <f>8*5*0.6</f>
        <v>24</v>
      </c>
    </row>
    <row r="99" spans="1:24" x14ac:dyDescent="0.25">
      <c r="A99" s="9" t="s">
        <v>248</v>
      </c>
      <c r="B99">
        <f>(3.5+6+1+3+10+3.5+5+3.5+5+3.5+5)*6</f>
        <v>294</v>
      </c>
      <c r="E99" t="s">
        <v>259</v>
      </c>
      <c r="R99">
        <f>M89+O94+Q88+S94+U88+W94</f>
        <v>176.32499999999999</v>
      </c>
      <c r="W99">
        <f>5.5+3+1</f>
        <v>9.5</v>
      </c>
    </row>
    <row r="100" spans="1:24" x14ac:dyDescent="0.25">
      <c r="A100" s="9" t="s">
        <v>254</v>
      </c>
      <c r="B100" s="9">
        <f>(3.5+6+3+2+2+2+2+2+14)*6+(5+5+3+14)</f>
        <v>246</v>
      </c>
      <c r="E100">
        <f>(3.5+5+3.5+5+3.5+5)*10</f>
        <v>255</v>
      </c>
      <c r="T100">
        <v>2869443</v>
      </c>
      <c r="W100">
        <f>W98*W99</f>
        <v>228</v>
      </c>
    </row>
    <row r="101" spans="1:24" x14ac:dyDescent="0.25">
      <c r="A101" s="9" t="s">
        <v>249</v>
      </c>
      <c r="B101">
        <f>(3.5+6+1+3+10)*6</f>
        <v>141</v>
      </c>
      <c r="E101" t="s">
        <v>260</v>
      </c>
      <c r="T101">
        <f>T100-3000000</f>
        <v>-130557</v>
      </c>
    </row>
    <row r="102" spans="1:24" x14ac:dyDescent="0.25">
      <c r="A102" s="9" t="s">
        <v>48</v>
      </c>
      <c r="B102">
        <f>(3.5+2+3+2+2+2+2+10)*8+(4.5+3+2+10)</f>
        <v>231.5</v>
      </c>
      <c r="E102">
        <f>E98/E100</f>
        <v>0.50980392156862742</v>
      </c>
      <c r="T102">
        <f>T101/50000</f>
        <v>-2.6111399999999998</v>
      </c>
      <c r="X102">
        <f>11-7-2-1</f>
        <v>1</v>
      </c>
    </row>
    <row r="103" spans="1:24" x14ac:dyDescent="0.25">
      <c r="A103" s="9" t="s">
        <v>266</v>
      </c>
      <c r="B103">
        <f>(4.5+3+2+10)*10</f>
        <v>195</v>
      </c>
      <c r="E103" s="9" t="s">
        <v>261</v>
      </c>
      <c r="O103">
        <f>20*5.5</f>
        <v>110</v>
      </c>
      <c r="Q103">
        <f>17*2.5*0.25</f>
        <v>10.625</v>
      </c>
      <c r="X103">
        <f>40+14+2</f>
        <v>56</v>
      </c>
    </row>
    <row r="104" spans="1:24" x14ac:dyDescent="0.25">
      <c r="E104">
        <f>(3.5+6+1+2+10)*10+(3.5+5+3.5+5+3.5+5)*10/2</f>
        <v>352.5</v>
      </c>
      <c r="O104">
        <v>55</v>
      </c>
      <c r="Q104">
        <f>Q103*2</f>
        <v>21.25</v>
      </c>
      <c r="T104">
        <f>690000</f>
        <v>690000</v>
      </c>
      <c r="X104">
        <f>X103*6</f>
        <v>336</v>
      </c>
    </row>
    <row r="105" spans="1:24" x14ac:dyDescent="0.25">
      <c r="A105" s="9" t="s">
        <v>268</v>
      </c>
      <c r="D105" t="s">
        <v>262</v>
      </c>
      <c r="T105">
        <f>T104-3000000</f>
        <v>-2310000</v>
      </c>
      <c r="X105">
        <f>X104*3</f>
        <v>1008</v>
      </c>
    </row>
    <row r="106" spans="1:24" x14ac:dyDescent="0.25">
      <c r="A106" s="9" t="s">
        <v>248</v>
      </c>
      <c r="B106">
        <f>(3.5+6+1+3+10+3.5+5+3.5+5+3.5+5+6)*6</f>
        <v>330</v>
      </c>
      <c r="D106" t="s">
        <v>263</v>
      </c>
      <c r="T106">
        <f>T105/50000</f>
        <v>-46.2</v>
      </c>
      <c r="V106">
        <f>13-5-7-2</f>
        <v>-1</v>
      </c>
    </row>
    <row r="107" spans="1:24" x14ac:dyDescent="0.25">
      <c r="A107" s="9" t="s">
        <v>254</v>
      </c>
      <c r="B107" s="9">
        <f>(3.5+6+3+2+2+2+2+2+14+7)*6+(5+5+3+14+7)</f>
        <v>295</v>
      </c>
      <c r="D107" t="s">
        <v>264</v>
      </c>
      <c r="R107">
        <f>16*4</f>
        <v>64</v>
      </c>
      <c r="V107">
        <f>13-7-2-1</f>
        <v>3</v>
      </c>
    </row>
    <row r="108" spans="1:24" x14ac:dyDescent="0.25">
      <c r="A108" s="9" t="s">
        <v>249</v>
      </c>
      <c r="B108">
        <f>(3.5+6+1+3+10+6)*6</f>
        <v>177</v>
      </c>
      <c r="D108" t="s">
        <v>380</v>
      </c>
      <c r="R108">
        <f>64*3</f>
        <v>192</v>
      </c>
      <c r="X108">
        <f>750/54</f>
        <v>13.888888888888889</v>
      </c>
    </row>
    <row r="109" spans="1:24" x14ac:dyDescent="0.25">
      <c r="A109" s="9" t="s">
        <v>48</v>
      </c>
      <c r="B109">
        <f>(3.5+2+3+2+2+2+2+10+6)*8+(4.5+3+2+10+6)</f>
        <v>285.5</v>
      </c>
      <c r="D109" t="s">
        <v>265</v>
      </c>
      <c r="Q109">
        <f>18*2.5+16*2.5+18*2.5</f>
        <v>130</v>
      </c>
      <c r="R109">
        <f>28*3</f>
        <v>84</v>
      </c>
    </row>
    <row r="110" spans="1:24" x14ac:dyDescent="0.25">
      <c r="A110" s="9" t="s">
        <v>266</v>
      </c>
      <c r="B110">
        <f>(4.5+3+2+10+6)*10</f>
        <v>255</v>
      </c>
      <c r="D110" t="s">
        <v>267</v>
      </c>
      <c r="Q110">
        <f>Q109*0.5</f>
        <v>65</v>
      </c>
    </row>
    <row r="111" spans="1:24" x14ac:dyDescent="0.25">
      <c r="Q111">
        <f>(Q109+Q110+Q110+Q110)/4</f>
        <v>81.25</v>
      </c>
      <c r="R111">
        <f>24+5+14+2</f>
        <v>45</v>
      </c>
      <c r="S111">
        <f>40+14+2</f>
        <v>56</v>
      </c>
      <c r="T111">
        <f>3.5+1+3+3+14+2</f>
        <v>26.5</v>
      </c>
      <c r="U111">
        <f>12*2.5+6</f>
        <v>36</v>
      </c>
    </row>
    <row r="112" spans="1:24" x14ac:dyDescent="0.25">
      <c r="A112" s="9" t="s">
        <v>269</v>
      </c>
      <c r="Q112">
        <f>Q111-18</f>
        <v>63.25</v>
      </c>
      <c r="R112">
        <f>R111*6</f>
        <v>270</v>
      </c>
      <c r="S112">
        <f>S111*6</f>
        <v>336</v>
      </c>
      <c r="T112">
        <f>T111*6</f>
        <v>159</v>
      </c>
    </row>
    <row r="113" spans="1:30" x14ac:dyDescent="0.25">
      <c r="A113" s="9" t="s">
        <v>270</v>
      </c>
    </row>
    <row r="114" spans="1:30" x14ac:dyDescent="0.25">
      <c r="P114">
        <f>3.5*10*4</f>
        <v>140</v>
      </c>
    </row>
    <row r="116" spans="1:30" ht="15.75" x14ac:dyDescent="0.25">
      <c r="A116" t="s">
        <v>281</v>
      </c>
      <c r="B116">
        <f>7*(3.5+6+10+3+7+14)</f>
        <v>304.5</v>
      </c>
      <c r="D116" s="13" t="s">
        <v>271</v>
      </c>
      <c r="Q116">
        <f>10*3.5*3</f>
        <v>105</v>
      </c>
      <c r="R116" t="s">
        <v>669</v>
      </c>
      <c r="U116">
        <v>8</v>
      </c>
    </row>
    <row r="117" spans="1:30" ht="15.75" x14ac:dyDescent="0.25">
      <c r="A117" t="s">
        <v>285</v>
      </c>
      <c r="B117">
        <f>6*(3.5+12+3+7+14+2.5+1)</f>
        <v>258</v>
      </c>
      <c r="D117" s="13" t="s">
        <v>272</v>
      </c>
      <c r="Q117">
        <f>15*3.5</f>
        <v>52.5</v>
      </c>
      <c r="R117" t="s">
        <v>672</v>
      </c>
    </row>
    <row r="118" spans="1:30" ht="15.75" x14ac:dyDescent="0.25">
      <c r="A118" t="s">
        <v>282</v>
      </c>
      <c r="B118">
        <f>7*(3.5+6+10+2+14)</f>
        <v>248.5</v>
      </c>
      <c r="D118" s="13" t="s">
        <v>273</v>
      </c>
      <c r="Q118">
        <f>10*3.5</f>
        <v>35</v>
      </c>
      <c r="R118" t="s">
        <v>668</v>
      </c>
    </row>
    <row r="119" spans="1:30" ht="15.75" x14ac:dyDescent="0.25">
      <c r="A119" t="s">
        <v>286</v>
      </c>
      <c r="B119">
        <f>6*(3.5+12+2+14+2.5+1)</f>
        <v>210</v>
      </c>
      <c r="D119" s="13" t="s">
        <v>274</v>
      </c>
      <c r="Q119">
        <f>10*3.5</f>
        <v>35</v>
      </c>
      <c r="R119" t="s">
        <v>670</v>
      </c>
      <c r="V119">
        <f>7/20</f>
        <v>0.35</v>
      </c>
      <c r="W119">
        <f>V119*0.89</f>
        <v>0.3115</v>
      </c>
    </row>
    <row r="120" spans="1:30" ht="15.75" x14ac:dyDescent="0.25">
      <c r="A120" t="s">
        <v>275</v>
      </c>
      <c r="B120">
        <f>(3.5+2+3+2+2+2+2+10+6)*8+(4.5+3+2+10+6)</f>
        <v>285.5</v>
      </c>
      <c r="D120" s="13"/>
      <c r="Q120">
        <f>10*3.5</f>
        <v>35</v>
      </c>
      <c r="R120" t="s">
        <v>671</v>
      </c>
      <c r="V120">
        <v>0.6</v>
      </c>
      <c r="W120">
        <f>1-W119</f>
        <v>0.6885</v>
      </c>
      <c r="X120">
        <f>W120</f>
        <v>0.6885</v>
      </c>
    </row>
    <row r="121" spans="1:30" x14ac:dyDescent="0.25">
      <c r="A121" t="s">
        <v>276</v>
      </c>
      <c r="B121">
        <f>(3.5+6+1+2+10)*6+(3.5+5+3.5+5+3.5+5)*6/2</f>
        <v>211.5</v>
      </c>
      <c r="Q121">
        <f>SUM(Q116:Q120)</f>
        <v>262.5</v>
      </c>
      <c r="S121">
        <f>5+3+2+14</f>
        <v>24</v>
      </c>
      <c r="W121">
        <f>W120^6</f>
        <v>0.10651816288200242</v>
      </c>
      <c r="X121">
        <f>X120^12</f>
        <v>1.1346119023756799E-2</v>
      </c>
    </row>
    <row r="122" spans="1:30" x14ac:dyDescent="0.25">
      <c r="A122" t="s">
        <v>287</v>
      </c>
      <c r="B122">
        <f>6*(3.5+12+3+6+10+2.5+1)</f>
        <v>228</v>
      </c>
      <c r="Q122">
        <f>Q121/2</f>
        <v>131.25</v>
      </c>
      <c r="S122">
        <f>24*6</f>
        <v>144</v>
      </c>
      <c r="W122">
        <f>W120^15</f>
        <v>3.7030465279290757E-3</v>
      </c>
      <c r="X122">
        <f>X120^17</f>
        <v>1.7553634774889076E-3</v>
      </c>
      <c r="AB122">
        <f>7/20</f>
        <v>0.35</v>
      </c>
      <c r="AC122">
        <f>AB122</f>
        <v>0.35</v>
      </c>
    </row>
    <row r="123" spans="1:30" x14ac:dyDescent="0.25">
      <c r="A123" t="s">
        <v>283</v>
      </c>
      <c r="B123">
        <f>7*(3.5+6+10+2+14)</f>
        <v>248.5</v>
      </c>
      <c r="AB123">
        <v>0.6</v>
      </c>
      <c r="AC123">
        <f>1-AC122</f>
        <v>0.65</v>
      </c>
      <c r="AD123">
        <f>AC123</f>
        <v>0.65</v>
      </c>
    </row>
    <row r="124" spans="1:30" x14ac:dyDescent="0.25">
      <c r="A124" s="12" t="s">
        <v>284</v>
      </c>
      <c r="B124" s="12">
        <f>10*(3.5+6+10+2+14)</f>
        <v>355</v>
      </c>
      <c r="U124">
        <f>15*8*3.5</f>
        <v>420</v>
      </c>
      <c r="V124">
        <f>U124/2</f>
        <v>210</v>
      </c>
      <c r="X124">
        <f>3/20</f>
        <v>0.15</v>
      </c>
      <c r="Y124">
        <f>3/20</f>
        <v>0.15</v>
      </c>
      <c r="AC124">
        <f>AC123^4</f>
        <v>0.17850625000000003</v>
      </c>
      <c r="AD124">
        <f>AD123^12</f>
        <v>5.6880090631057159E-3</v>
      </c>
    </row>
    <row r="125" spans="1:30" x14ac:dyDescent="0.25">
      <c r="A125" t="s">
        <v>288</v>
      </c>
      <c r="B125">
        <f>5*(3.5+12+2+10+2.5+1)</f>
        <v>155</v>
      </c>
      <c r="U125">
        <f>5*8</f>
        <v>40</v>
      </c>
      <c r="V125">
        <f>5*8</f>
        <v>40</v>
      </c>
      <c r="X125">
        <v>0.6</v>
      </c>
      <c r="Y125">
        <f>1-Y124</f>
        <v>0.85</v>
      </c>
      <c r="Z125">
        <f>Y125</f>
        <v>0.85</v>
      </c>
      <c r="AC125">
        <f>AC123^15</f>
        <v>1.5620694889554075E-3</v>
      </c>
      <c r="AD125">
        <f>AD123^17</f>
        <v>6.5997435908365964E-4</v>
      </c>
    </row>
    <row r="126" spans="1:30" x14ac:dyDescent="0.25">
      <c r="A126" s="12" t="s">
        <v>291</v>
      </c>
      <c r="B126" s="12">
        <f>10*(3.5+12+2+10+2.5+1)</f>
        <v>310</v>
      </c>
      <c r="R126">
        <f>48*0.4</f>
        <v>19.200000000000003</v>
      </c>
      <c r="U126">
        <f>3.5*5*5</f>
        <v>87.5</v>
      </c>
      <c r="V126">
        <f>3.5*5*5</f>
        <v>87.5</v>
      </c>
      <c r="Y126">
        <f>Y125^8</f>
        <v>0.2724905250390624</v>
      </c>
      <c r="Z126">
        <f>Z125^12</f>
        <v>0.14224175713617204</v>
      </c>
    </row>
    <row r="127" spans="1:30" x14ac:dyDescent="0.25">
      <c r="A127" t="s">
        <v>277</v>
      </c>
      <c r="B127">
        <f>(3.5+2+2+2+2+2+2+10)*8+(4.5+2+2+10)</f>
        <v>222.5</v>
      </c>
      <c r="U127">
        <f>18*4.5*2</f>
        <v>162</v>
      </c>
      <c r="V127">
        <f>U127/2</f>
        <v>81</v>
      </c>
      <c r="Y127">
        <f>Y125^15</f>
        <v>8.7354219101251629E-2</v>
      </c>
      <c r="Z127">
        <f>Z125^17</f>
        <v>6.3113423300654309E-2</v>
      </c>
      <c r="AB127">
        <f>18*3</f>
        <v>54</v>
      </c>
    </row>
    <row r="128" spans="1:30" x14ac:dyDescent="0.25">
      <c r="A128" s="12" t="s">
        <v>278</v>
      </c>
      <c r="B128" s="12">
        <f>(3.5+2+2+2+2+2+2+10)*10</f>
        <v>255</v>
      </c>
      <c r="U128">
        <f>SUM(U124:U127)</f>
        <v>709.5</v>
      </c>
      <c r="V128">
        <f>SUM(V124:V127)</f>
        <v>418.5</v>
      </c>
      <c r="X128">
        <f>Y126*AC124</f>
        <v>4.8641261785254145E-2</v>
      </c>
    </row>
    <row r="129" spans="1:43" x14ac:dyDescent="0.25">
      <c r="A129" t="s">
        <v>279</v>
      </c>
      <c r="B129">
        <f>(3.5+6+1+2+10)*5+(3.5+5+3.5+5+3.5+5)*5/2</f>
        <v>176.25</v>
      </c>
      <c r="X129">
        <f>Y127*AC125</f>
        <v>1.3645336038959084E-4</v>
      </c>
      <c r="AG129" t="s">
        <v>674</v>
      </c>
      <c r="AI129" t="s">
        <v>675</v>
      </c>
      <c r="AK129" t="s">
        <v>676</v>
      </c>
      <c r="AM129" t="s">
        <v>557</v>
      </c>
    </row>
    <row r="130" spans="1:43" x14ac:dyDescent="0.25">
      <c r="A130" s="12" t="s">
        <v>280</v>
      </c>
      <c r="B130" s="12">
        <f>(3.5+6+1+2+10)*10+(3.5+5+3.5+5+3.5+5)*10/2</f>
        <v>352.5</v>
      </c>
      <c r="AF130" t="s">
        <v>669</v>
      </c>
      <c r="AG130" t="s">
        <v>683</v>
      </c>
      <c r="AI130" t="s">
        <v>678</v>
      </c>
    </row>
    <row r="131" spans="1:43" x14ac:dyDescent="0.25">
      <c r="A131" t="s">
        <v>289</v>
      </c>
      <c r="B131">
        <f>5*(3.5+12+2+10+2.5+1)</f>
        <v>155</v>
      </c>
      <c r="AF131" t="s">
        <v>670</v>
      </c>
      <c r="AG131" t="s">
        <v>683</v>
      </c>
      <c r="AI131" t="s">
        <v>679</v>
      </c>
      <c r="AK131" t="s">
        <v>680</v>
      </c>
    </row>
    <row r="132" spans="1:43" x14ac:dyDescent="0.25">
      <c r="A132" s="12" t="s">
        <v>290</v>
      </c>
      <c r="B132" s="12">
        <f>10*(3.5+12+2+10+2.5+1)</f>
        <v>310</v>
      </c>
      <c r="AF132" t="s">
        <v>668</v>
      </c>
      <c r="AG132" t="s">
        <v>684</v>
      </c>
      <c r="AQ132">
        <f>26800/500</f>
        <v>53.6</v>
      </c>
    </row>
    <row r="133" spans="1:43" x14ac:dyDescent="0.25">
      <c r="AF133" t="s">
        <v>672</v>
      </c>
      <c r="AG133" t="s">
        <v>685</v>
      </c>
      <c r="AI133" t="s">
        <v>678</v>
      </c>
      <c r="AK133" t="s">
        <v>681</v>
      </c>
      <c r="AM133" t="s">
        <v>677</v>
      </c>
      <c r="AQ133">
        <f>AQ132*9000</f>
        <v>482400</v>
      </c>
    </row>
    <row r="134" spans="1:43" x14ac:dyDescent="0.25">
      <c r="AF134" t="s">
        <v>673</v>
      </c>
      <c r="AG134" t="s">
        <v>685</v>
      </c>
      <c r="AQ134">
        <f>200000/9000</f>
        <v>22.222222222222221</v>
      </c>
    </row>
    <row r="135" spans="1:43" x14ac:dyDescent="0.25">
      <c r="A135" t="s">
        <v>345</v>
      </c>
      <c r="B135" t="s">
        <v>399</v>
      </c>
      <c r="AF135" t="s">
        <v>671</v>
      </c>
      <c r="AG135" t="s">
        <v>685</v>
      </c>
      <c r="AK135" t="s">
        <v>682</v>
      </c>
    </row>
    <row r="136" spans="1:43" x14ac:dyDescent="0.25">
      <c r="A136" t="s">
        <v>346</v>
      </c>
      <c r="E136" t="s">
        <v>359</v>
      </c>
    </row>
    <row r="137" spans="1:43" x14ac:dyDescent="0.25">
      <c r="A137" s="12" t="s">
        <v>347</v>
      </c>
      <c r="E137" t="s">
        <v>349</v>
      </c>
      <c r="AH137" t="s">
        <v>686</v>
      </c>
    </row>
    <row r="138" spans="1:43" x14ac:dyDescent="0.25">
      <c r="A138" t="s">
        <v>379</v>
      </c>
      <c r="E138" s="12" t="s">
        <v>358</v>
      </c>
      <c r="F138" s="12">
        <f>(5+2+15+3+6)*10</f>
        <v>310</v>
      </c>
      <c r="AO138">
        <f>13/20</f>
        <v>0.65</v>
      </c>
    </row>
    <row r="139" spans="1:43" x14ac:dyDescent="0.25">
      <c r="A139" t="s">
        <v>374</v>
      </c>
      <c r="B139">
        <f>(6.5+6.5+6.5+6.5)*10</f>
        <v>260</v>
      </c>
      <c r="E139" s="12" t="s">
        <v>36</v>
      </c>
      <c r="F139" s="12">
        <f>(5+2+10+3+6)*10</f>
        <v>260</v>
      </c>
      <c r="AF139">
        <f>76*2</f>
        <v>152</v>
      </c>
      <c r="AO139">
        <f>1-AO138</f>
        <v>0.35</v>
      </c>
    </row>
    <row r="140" spans="1:43" x14ac:dyDescent="0.25">
      <c r="A140" s="12" t="s">
        <v>375</v>
      </c>
      <c r="B140" s="12">
        <f>(6.5+6.5+6.5+6.5)*10</f>
        <v>260</v>
      </c>
      <c r="E140" s="12" t="s">
        <v>40</v>
      </c>
      <c r="F140" s="12">
        <f>(3.5+3+10+3+6)*10</f>
        <v>255</v>
      </c>
      <c r="AF140">
        <f>AF139/9</f>
        <v>16.888888888888889</v>
      </c>
      <c r="AP140">
        <f>AO139^4</f>
        <v>1.5006249999999995E-2</v>
      </c>
    </row>
    <row r="141" spans="1:43" x14ac:dyDescent="0.25">
      <c r="A141" s="12" t="s">
        <v>365</v>
      </c>
      <c r="B141" s="12">
        <f>(2.5+1+3+2+6+6)*10</f>
        <v>205</v>
      </c>
      <c r="E141" t="s">
        <v>357</v>
      </c>
      <c r="F141">
        <f>(5+2+15+3+6)*6</f>
        <v>186</v>
      </c>
      <c r="AF141">
        <f>AF140*670</f>
        <v>11315.555555555557</v>
      </c>
      <c r="AI141" t="s">
        <v>674</v>
      </c>
      <c r="AK141" t="s">
        <v>675</v>
      </c>
      <c r="AM141" t="s">
        <v>676</v>
      </c>
      <c r="AO141" t="s">
        <v>557</v>
      </c>
    </row>
    <row r="142" spans="1:43" x14ac:dyDescent="0.25">
      <c r="A142" s="12" t="s">
        <v>371</v>
      </c>
      <c r="B142" s="12">
        <f>(2.5+1+3+2+6+6)*10</f>
        <v>205</v>
      </c>
      <c r="E142" s="12" t="s">
        <v>351</v>
      </c>
      <c r="F142" s="12">
        <f>(4.5+3+1+1+3+6)*10</f>
        <v>185</v>
      </c>
      <c r="AH142" t="s">
        <v>669</v>
      </c>
      <c r="AI142" t="s">
        <v>687</v>
      </c>
      <c r="AK142" t="s">
        <v>688</v>
      </c>
    </row>
    <row r="143" spans="1:43" x14ac:dyDescent="0.25">
      <c r="A143" s="12" t="s">
        <v>335</v>
      </c>
      <c r="B143" s="12">
        <f>(4.5+5+2+3+5)*10</f>
        <v>195</v>
      </c>
      <c r="E143" s="12" t="s">
        <v>356</v>
      </c>
      <c r="F143" s="12">
        <f>(5.5+3+3+6)*10</f>
        <v>175</v>
      </c>
      <c r="AH143" t="s">
        <v>670</v>
      </c>
      <c r="AI143" t="s">
        <v>683</v>
      </c>
      <c r="AK143" t="s">
        <v>679</v>
      </c>
      <c r="AM143" t="s">
        <v>689</v>
      </c>
    </row>
    <row r="144" spans="1:43" x14ac:dyDescent="0.25">
      <c r="A144" s="12" t="s">
        <v>337</v>
      </c>
      <c r="B144" s="12">
        <f>(4.5+5+3+5)*10</f>
        <v>175</v>
      </c>
      <c r="C144" t="s">
        <v>342</v>
      </c>
      <c r="E144" t="s">
        <v>353</v>
      </c>
      <c r="F144">
        <f>(4.5+4+3+6)*10</f>
        <v>175</v>
      </c>
      <c r="AH144" t="s">
        <v>668</v>
      </c>
      <c r="AI144" t="s">
        <v>684</v>
      </c>
    </row>
    <row r="145" spans="1:41" x14ac:dyDescent="0.25">
      <c r="A145" s="12" t="s">
        <v>341</v>
      </c>
      <c r="B145" s="12">
        <f>(4.5+3+2+3+5)*10</f>
        <v>175</v>
      </c>
      <c r="E145" t="s">
        <v>354</v>
      </c>
      <c r="F145">
        <f>(5+2+10+3+6)*6</f>
        <v>156</v>
      </c>
      <c r="AH145" t="s">
        <v>672</v>
      </c>
      <c r="AI145" t="s">
        <v>685</v>
      </c>
      <c r="AK145" t="s">
        <v>678</v>
      </c>
      <c r="AM145" t="s">
        <v>681</v>
      </c>
      <c r="AO145" t="s">
        <v>677</v>
      </c>
    </row>
    <row r="146" spans="1:41" x14ac:dyDescent="0.25">
      <c r="A146" s="12" t="s">
        <v>369</v>
      </c>
      <c r="B146" s="12">
        <f>(2.5+1+5+3+6)*10</f>
        <v>175</v>
      </c>
      <c r="E146" t="s">
        <v>348</v>
      </c>
      <c r="F146">
        <f>(3.5+3+10+3+6)*6</f>
        <v>153</v>
      </c>
      <c r="AH146" t="s">
        <v>673</v>
      </c>
      <c r="AI146" t="s">
        <v>684</v>
      </c>
    </row>
    <row r="147" spans="1:41" x14ac:dyDescent="0.25">
      <c r="A147" s="12" t="s">
        <v>367</v>
      </c>
      <c r="B147" s="12">
        <f>(2.5+1+4+3+6)*10</f>
        <v>165</v>
      </c>
      <c r="E147" t="s">
        <v>350</v>
      </c>
      <c r="F147">
        <f>(4.5+3+1+1+3+6)*6</f>
        <v>111</v>
      </c>
      <c r="AH147" t="s">
        <v>671</v>
      </c>
      <c r="AI147" t="s">
        <v>690</v>
      </c>
      <c r="AM147" t="s">
        <v>689</v>
      </c>
    </row>
    <row r="148" spans="1:41" x14ac:dyDescent="0.25">
      <c r="A148" t="s">
        <v>360</v>
      </c>
      <c r="B148">
        <f>(2+3+6+5)*10</f>
        <v>160</v>
      </c>
      <c r="E148" s="12" t="s">
        <v>352</v>
      </c>
      <c r="F148" s="12">
        <f>(4.5+4+3+6)*6</f>
        <v>105</v>
      </c>
    </row>
    <row r="149" spans="1:41" x14ac:dyDescent="0.25">
      <c r="A149" s="12" t="s">
        <v>362</v>
      </c>
      <c r="B149" s="12">
        <f>(2+3+6+5)*10</f>
        <v>160</v>
      </c>
      <c r="E149" t="s">
        <v>355</v>
      </c>
      <c r="F149">
        <f>(5.5+3+3+6)*6</f>
        <v>105</v>
      </c>
      <c r="AJ149" t="s">
        <v>686</v>
      </c>
    </row>
    <row r="150" spans="1:41" x14ac:dyDescent="0.25">
      <c r="A150" s="12" t="s">
        <v>334</v>
      </c>
      <c r="B150" s="12">
        <f>(3.5+3+3+5)*10</f>
        <v>145</v>
      </c>
      <c r="E150" t="s">
        <v>381</v>
      </c>
    </row>
    <row r="151" spans="1:41" x14ac:dyDescent="0.25">
      <c r="A151" s="12" t="s">
        <v>344</v>
      </c>
      <c r="B151" s="12">
        <f>(4.5+2+3+5)*10</f>
        <v>145</v>
      </c>
      <c r="E151" t="s">
        <v>483</v>
      </c>
    </row>
    <row r="152" spans="1:41" x14ac:dyDescent="0.25">
      <c r="A152" s="12" t="s">
        <v>338</v>
      </c>
      <c r="B152" s="12">
        <f>(4.5+1+3+5)*10</f>
        <v>135</v>
      </c>
    </row>
    <row r="153" spans="1:41" x14ac:dyDescent="0.25">
      <c r="A153" t="s">
        <v>361</v>
      </c>
      <c r="B153">
        <f>(2+3+3+5)*10</f>
        <v>130</v>
      </c>
      <c r="E153" t="s">
        <v>479</v>
      </c>
    </row>
    <row r="154" spans="1:41" x14ac:dyDescent="0.25">
      <c r="A154" s="12" t="s">
        <v>363</v>
      </c>
      <c r="B154" s="12">
        <f>(2+3+3+5)*10</f>
        <v>130</v>
      </c>
    </row>
    <row r="155" spans="1:41" x14ac:dyDescent="0.25">
      <c r="A155" t="s">
        <v>372</v>
      </c>
      <c r="B155">
        <f>(6.5+6.5)*10</f>
        <v>130</v>
      </c>
      <c r="E155" t="s">
        <v>480</v>
      </c>
    </row>
    <row r="156" spans="1:41" x14ac:dyDescent="0.25">
      <c r="A156" s="12" t="s">
        <v>373</v>
      </c>
      <c r="B156" s="12">
        <f>(6.5+6.5)*10</f>
        <v>130</v>
      </c>
      <c r="E156">
        <f>(3.5+6+1+3+13+14)*10+(3.5+5+3.5+5+3.5+5)*10</f>
        <v>660</v>
      </c>
    </row>
    <row r="157" spans="1:41" x14ac:dyDescent="0.25">
      <c r="A157" t="s">
        <v>330</v>
      </c>
      <c r="B157">
        <f>(3.5+1+3+5)*10</f>
        <v>125</v>
      </c>
      <c r="E157" t="s">
        <v>482</v>
      </c>
    </row>
    <row r="158" spans="1:41" x14ac:dyDescent="0.25">
      <c r="A158" s="12" t="s">
        <v>333</v>
      </c>
      <c r="B158" s="12">
        <f>(3.5+1+3+5)*10</f>
        <v>125</v>
      </c>
      <c r="E158">
        <f>(3.5+6+1+3+13+14)*10</f>
        <v>405</v>
      </c>
    </row>
    <row r="159" spans="1:41" x14ac:dyDescent="0.25">
      <c r="A159" t="s">
        <v>364</v>
      </c>
      <c r="B159">
        <f>(2.5+1+3+2+6+6)*6</f>
        <v>123</v>
      </c>
      <c r="E159" t="s">
        <v>481</v>
      </c>
    </row>
    <row r="160" spans="1:41" x14ac:dyDescent="0.25">
      <c r="A160" t="s">
        <v>370</v>
      </c>
      <c r="B160">
        <f>(2.5+1+3+2+6+6)*6</f>
        <v>123</v>
      </c>
      <c r="E160">
        <f>(2+2*4+2+15+3+14+13)*10</f>
        <v>570</v>
      </c>
    </row>
    <row r="161" spans="1:3" x14ac:dyDescent="0.25">
      <c r="A161" t="s">
        <v>332</v>
      </c>
      <c r="B161">
        <f>(4.5+5+2+3+5)*6</f>
        <v>117</v>
      </c>
    </row>
    <row r="162" spans="1:3" x14ac:dyDescent="0.25">
      <c r="A162" t="s">
        <v>331</v>
      </c>
      <c r="B162">
        <f>(3.5+3+3+5)*8</f>
        <v>116</v>
      </c>
    </row>
    <row r="163" spans="1:3" x14ac:dyDescent="0.25">
      <c r="A163" t="s">
        <v>343</v>
      </c>
      <c r="B163">
        <f>(4.5+2+3+5)*8</f>
        <v>116</v>
      </c>
    </row>
    <row r="164" spans="1:3" x14ac:dyDescent="0.25">
      <c r="A164" t="s">
        <v>339</v>
      </c>
      <c r="B164">
        <f>(4.5+1+3+5)*8</f>
        <v>108</v>
      </c>
    </row>
    <row r="165" spans="1:3" x14ac:dyDescent="0.25">
      <c r="A165" t="s">
        <v>336</v>
      </c>
      <c r="B165">
        <f>(4.5+5+3+5)*6</f>
        <v>105</v>
      </c>
      <c r="C165" t="s">
        <v>342</v>
      </c>
    </row>
    <row r="166" spans="1:3" x14ac:dyDescent="0.25">
      <c r="A166" t="s">
        <v>340</v>
      </c>
      <c r="B166">
        <f>(4.5+3+2+3+5)*6</f>
        <v>105</v>
      </c>
    </row>
    <row r="167" spans="1:3" x14ac:dyDescent="0.25">
      <c r="A167" t="s">
        <v>368</v>
      </c>
      <c r="B167">
        <f>(2.5+1+5+3+6)*6</f>
        <v>105</v>
      </c>
    </row>
    <row r="168" spans="1:3" x14ac:dyDescent="0.25">
      <c r="A168" t="s">
        <v>366</v>
      </c>
      <c r="B168">
        <f>(2.5+1+4+3+6)*6</f>
        <v>99</v>
      </c>
    </row>
    <row r="169" spans="1:3" x14ac:dyDescent="0.25">
      <c r="A169" t="s">
        <v>382</v>
      </c>
    </row>
    <row r="171" spans="1:3" x14ac:dyDescent="0.25">
      <c r="A171" t="s">
        <v>376</v>
      </c>
    </row>
    <row r="172" spans="1:3" x14ac:dyDescent="0.25">
      <c r="A172" t="s">
        <v>377</v>
      </c>
    </row>
    <row r="173" spans="1:3" x14ac:dyDescent="0.25">
      <c r="A173" t="s">
        <v>378</v>
      </c>
    </row>
    <row r="174" spans="1:3" x14ac:dyDescent="0.25">
      <c r="A174" t="s">
        <v>478</v>
      </c>
    </row>
    <row r="177" spans="1:3" x14ac:dyDescent="0.25">
      <c r="A177" t="s">
        <v>391</v>
      </c>
      <c r="B177" t="s">
        <v>383</v>
      </c>
    </row>
    <row r="178" spans="1:3" x14ac:dyDescent="0.25">
      <c r="A178" s="12" t="s">
        <v>386</v>
      </c>
      <c r="B178" s="12">
        <f>((6.5+6.5)*10+(6.5+6.5)*10/2)*3</f>
        <v>585</v>
      </c>
    </row>
    <row r="179" spans="1:3" x14ac:dyDescent="0.25">
      <c r="A179" s="7" t="s">
        <v>261</v>
      </c>
      <c r="B179" s="7">
        <f>(3.5+6+1+3+10+13)*10+(3.5+5+3.5+5+3.5+5)*10/2</f>
        <v>492.5</v>
      </c>
    </row>
    <row r="180" spans="1:3" x14ac:dyDescent="0.25">
      <c r="A180" s="7" t="s">
        <v>358</v>
      </c>
      <c r="B180" s="7">
        <f>(5+2+15+3+10+13)*10</f>
        <v>480</v>
      </c>
    </row>
    <row r="181" spans="1:3" x14ac:dyDescent="0.25">
      <c r="A181" s="7" t="s">
        <v>150</v>
      </c>
      <c r="B181" s="7">
        <f>(3.5+6+3+10+10+13)*10</f>
        <v>455</v>
      </c>
    </row>
    <row r="182" spans="1:3" x14ac:dyDescent="0.25">
      <c r="A182" s="7" t="s">
        <v>36</v>
      </c>
      <c r="B182" s="7">
        <f>(5+2+10+3+10+13)*10</f>
        <v>430</v>
      </c>
    </row>
    <row r="183" spans="1:3" x14ac:dyDescent="0.25">
      <c r="A183" s="12" t="s">
        <v>385</v>
      </c>
      <c r="B183" s="12">
        <f>((6.5+6.5)*10+(6.5+6.5)*10/2)*2</f>
        <v>390</v>
      </c>
    </row>
    <row r="184" spans="1:3" x14ac:dyDescent="0.25">
      <c r="A184" s="12" t="s">
        <v>388</v>
      </c>
      <c r="B184" s="12">
        <f>(4.5+5+10+3+13)*10</f>
        <v>355</v>
      </c>
    </row>
    <row r="185" spans="1:3" x14ac:dyDescent="0.25">
      <c r="A185" s="12" t="s">
        <v>387</v>
      </c>
      <c r="B185" s="12">
        <f>(2.5+4+2+3+10+13)*10</f>
        <v>345</v>
      </c>
    </row>
    <row r="186" spans="1:3" x14ac:dyDescent="0.25">
      <c r="A186" s="12" t="s">
        <v>389</v>
      </c>
      <c r="B186" s="12">
        <f>(4.5+5+7.5+3+13)*10</f>
        <v>330</v>
      </c>
    </row>
    <row r="187" spans="1:3" x14ac:dyDescent="0.25">
      <c r="A187" s="12" t="s">
        <v>390</v>
      </c>
      <c r="B187" s="12">
        <f>(4.5+5+5+3+13)*10</f>
        <v>305</v>
      </c>
    </row>
    <row r="188" spans="1:3" x14ac:dyDescent="0.25">
      <c r="A188" s="12" t="s">
        <v>360</v>
      </c>
      <c r="B188" s="12">
        <f>(2+3+10+13)*10</f>
        <v>280</v>
      </c>
      <c r="C188" s="9"/>
    </row>
    <row r="189" spans="1:3" x14ac:dyDescent="0.25">
      <c r="A189" s="12" t="s">
        <v>335</v>
      </c>
      <c r="B189" s="12">
        <f>(4.5+5+2+3+13)*10</f>
        <v>275</v>
      </c>
      <c r="C189" s="9"/>
    </row>
    <row r="190" spans="1:3" x14ac:dyDescent="0.25">
      <c r="A190" s="12" t="s">
        <v>374</v>
      </c>
      <c r="B190" s="12">
        <f>(6.5+6.5+6.5+6.5)*10</f>
        <v>260</v>
      </c>
      <c r="C190" s="9"/>
    </row>
    <row r="191" spans="1:3" x14ac:dyDescent="0.25">
      <c r="A191" s="12" t="s">
        <v>384</v>
      </c>
      <c r="B191" s="12">
        <f>(6.5+6.5)*10+(6.5+6.5)*10/2</f>
        <v>195</v>
      </c>
    </row>
    <row r="192" spans="1:3" x14ac:dyDescent="0.25">
      <c r="A192" s="12" t="s">
        <v>393</v>
      </c>
      <c r="B192" s="12">
        <f>(6.5+6.5)*10</f>
        <v>130</v>
      </c>
    </row>
    <row r="194" spans="1:3" x14ac:dyDescent="0.25">
      <c r="A194" s="9" t="s">
        <v>475</v>
      </c>
    </row>
    <row r="195" spans="1:3" x14ac:dyDescent="0.25">
      <c r="A195" s="9" t="s">
        <v>392</v>
      </c>
    </row>
    <row r="196" spans="1:3" x14ac:dyDescent="0.25">
      <c r="A196" t="s">
        <v>394</v>
      </c>
    </row>
    <row r="197" spans="1:3" x14ac:dyDescent="0.25">
      <c r="A197" t="s">
        <v>395</v>
      </c>
    </row>
    <row r="198" spans="1:3" x14ac:dyDescent="0.25">
      <c r="A198" t="s">
        <v>396</v>
      </c>
    </row>
    <row r="200" spans="1:3" x14ac:dyDescent="0.25">
      <c r="A200" t="s">
        <v>397</v>
      </c>
      <c r="B200">
        <f>0-13-6-3-7</f>
        <v>-29</v>
      </c>
      <c r="C200" t="s">
        <v>477</v>
      </c>
    </row>
    <row r="201" spans="1:3" x14ac:dyDescent="0.25">
      <c r="A201" t="s">
        <v>398</v>
      </c>
      <c r="B201">
        <f>0-13-3-3-7-10</f>
        <v>-36</v>
      </c>
      <c r="C201" t="s">
        <v>476</v>
      </c>
    </row>
    <row r="202" spans="1:3" x14ac:dyDescent="0.25">
      <c r="A202" t="s">
        <v>485</v>
      </c>
    </row>
    <row r="203" spans="1:3" x14ac:dyDescent="0.25">
      <c r="A203" s="7" t="s">
        <v>400</v>
      </c>
    </row>
    <row r="204" spans="1:3" x14ac:dyDescent="0.25">
      <c r="A204" s="7" t="s">
        <v>261</v>
      </c>
      <c r="B204" s="7">
        <f>((3.5+6+1+3+10+13)*10+(3.5+5+3.5+5+3.5+5)*10/2)*6</f>
        <v>2955</v>
      </c>
    </row>
    <row r="206" spans="1:3" x14ac:dyDescent="0.25">
      <c r="A206" s="12" t="s">
        <v>401</v>
      </c>
    </row>
    <row r="207" spans="1:3" x14ac:dyDescent="0.25">
      <c r="A207" s="12" t="s">
        <v>386</v>
      </c>
      <c r="B207" s="12">
        <f>(((6.5+6.5)*10+(6.5+6.5)*10/2)*6)*3</f>
        <v>3510</v>
      </c>
    </row>
    <row r="208" spans="1:3" x14ac:dyDescent="0.25">
      <c r="A208" s="12" t="s">
        <v>385</v>
      </c>
      <c r="B208" s="12">
        <f>(((6.5+6.5)*10+(6.5+6.5)*10/2)*6)*2</f>
        <v>2340</v>
      </c>
    </row>
    <row r="209" spans="1:5" x14ac:dyDescent="0.25">
      <c r="A209" s="12" t="s">
        <v>384</v>
      </c>
      <c r="B209" s="12">
        <f>((6.5+6.5)*10+(6.5+6.5)*10/2)*6</f>
        <v>1170</v>
      </c>
    </row>
    <row r="211" spans="1:5" x14ac:dyDescent="0.25">
      <c r="A211" s="9" t="s">
        <v>402</v>
      </c>
      <c r="B211" s="9"/>
      <c r="C211" s="9"/>
      <c r="D211" s="9"/>
    </row>
    <row r="212" spans="1:5" x14ac:dyDescent="0.25">
      <c r="A212" s="9" t="s">
        <v>403</v>
      </c>
      <c r="B212" s="9"/>
      <c r="C212" s="9"/>
      <c r="D212" s="9"/>
    </row>
    <row r="213" spans="1:5" x14ac:dyDescent="0.25">
      <c r="A213" s="9" t="s">
        <v>404</v>
      </c>
      <c r="B213" s="9"/>
      <c r="C213" s="9"/>
      <c r="D213" s="9"/>
    </row>
    <row r="214" spans="1:5" x14ac:dyDescent="0.25">
      <c r="A214" s="9" t="s">
        <v>484</v>
      </c>
      <c r="B214" s="9"/>
      <c r="C214" s="9"/>
      <c r="D214" s="9"/>
    </row>
    <row r="215" spans="1:5" x14ac:dyDescent="0.25">
      <c r="A215" s="9"/>
      <c r="B215" s="9"/>
      <c r="C215" s="9"/>
      <c r="D215" s="9"/>
    </row>
    <row r="216" spans="1:5" x14ac:dyDescent="0.25">
      <c r="A216" s="9" t="s">
        <v>472</v>
      </c>
      <c r="B216" s="9"/>
      <c r="C216" s="9"/>
      <c r="D216" s="9"/>
    </row>
    <row r="217" spans="1:5" x14ac:dyDescent="0.25">
      <c r="C217" t="s">
        <v>473</v>
      </c>
    </row>
    <row r="218" spans="1:5" x14ac:dyDescent="0.25">
      <c r="A218" s="9" t="s">
        <v>405</v>
      </c>
      <c r="C218" t="s">
        <v>413</v>
      </c>
      <c r="D218" t="s">
        <v>414</v>
      </c>
      <c r="E218" t="s">
        <v>415</v>
      </c>
    </row>
    <row r="219" spans="1:5" x14ac:dyDescent="0.25">
      <c r="A219" s="9" t="s">
        <v>408</v>
      </c>
      <c r="B219" t="s">
        <v>409</v>
      </c>
      <c r="C219">
        <f>(10+6*10)/2</f>
        <v>35</v>
      </c>
      <c r="D219">
        <f>C219*2</f>
        <v>70</v>
      </c>
      <c r="E219">
        <f>C219*3</f>
        <v>105</v>
      </c>
    </row>
    <row r="220" spans="1:5" x14ac:dyDescent="0.25">
      <c r="A220" s="9" t="s">
        <v>407</v>
      </c>
      <c r="B220" t="s">
        <v>410</v>
      </c>
      <c r="C220">
        <f>(5+5*6)/2</f>
        <v>17.5</v>
      </c>
      <c r="D220">
        <f>C220*2</f>
        <v>35</v>
      </c>
      <c r="E220">
        <f>C220*3</f>
        <v>52.5</v>
      </c>
    </row>
    <row r="221" spans="1:5" x14ac:dyDescent="0.25">
      <c r="A221" s="9" t="s">
        <v>406</v>
      </c>
    </row>
    <row r="222" spans="1:5" x14ac:dyDescent="0.25">
      <c r="A222" s="9" t="s">
        <v>408</v>
      </c>
      <c r="B222" t="s">
        <v>411</v>
      </c>
      <c r="C222">
        <f>(18+18*6)/2</f>
        <v>63</v>
      </c>
      <c r="D222">
        <f>C222*2</f>
        <v>126</v>
      </c>
      <c r="E222">
        <f>C222*3</f>
        <v>189</v>
      </c>
    </row>
    <row r="223" spans="1:5" x14ac:dyDescent="0.25">
      <c r="A223" s="9" t="s">
        <v>407</v>
      </c>
      <c r="B223" t="s">
        <v>412</v>
      </c>
      <c r="C223">
        <f>(6+6*6)/2</f>
        <v>21</v>
      </c>
      <c r="D223">
        <f>C223*2</f>
        <v>42</v>
      </c>
      <c r="E223">
        <f>C223*3</f>
        <v>63</v>
      </c>
    </row>
    <row r="224" spans="1:5" x14ac:dyDescent="0.25">
      <c r="A224" s="9" t="s">
        <v>416</v>
      </c>
    </row>
    <row r="225" spans="1:8" x14ac:dyDescent="0.25">
      <c r="A225" s="9" t="s">
        <v>408</v>
      </c>
      <c r="B225" t="s">
        <v>417</v>
      </c>
      <c r="C225">
        <f>(20+20*6)/2</f>
        <v>70</v>
      </c>
      <c r="D225">
        <f>(20+20*6)/2</f>
        <v>70</v>
      </c>
      <c r="E225">
        <f>(20+20*6)/2</f>
        <v>70</v>
      </c>
    </row>
    <row r="226" spans="1:8" x14ac:dyDescent="0.25">
      <c r="A226" s="9" t="s">
        <v>407</v>
      </c>
      <c r="B226" t="s">
        <v>409</v>
      </c>
      <c r="C226">
        <f>(10+10*6)/2</f>
        <v>35</v>
      </c>
      <c r="D226">
        <f>(10+10*6)/2</f>
        <v>35</v>
      </c>
      <c r="E226">
        <f>(10+10*6)/2</f>
        <v>35</v>
      </c>
    </row>
    <row r="228" spans="1:8" x14ac:dyDescent="0.25">
      <c r="A228" s="9" t="s">
        <v>418</v>
      </c>
    </row>
    <row r="230" spans="1:8" x14ac:dyDescent="0.25">
      <c r="A230" s="9" t="s">
        <v>432</v>
      </c>
    </row>
    <row r="231" spans="1:8" x14ac:dyDescent="0.25">
      <c r="A231" t="s">
        <v>431</v>
      </c>
    </row>
    <row r="232" spans="1:8" x14ac:dyDescent="0.25">
      <c r="D232" t="s">
        <v>430</v>
      </c>
      <c r="E232" t="s">
        <v>433</v>
      </c>
      <c r="F232" t="s">
        <v>434</v>
      </c>
      <c r="G232" t="s">
        <v>435</v>
      </c>
      <c r="H232" t="s">
        <v>436</v>
      </c>
    </row>
    <row r="233" spans="1:8" x14ac:dyDescent="0.25">
      <c r="A233" s="9" t="s">
        <v>406</v>
      </c>
      <c r="B233" t="s">
        <v>424</v>
      </c>
      <c r="C233" t="s">
        <v>208</v>
      </c>
    </row>
    <row r="234" spans="1:8" x14ac:dyDescent="0.25">
      <c r="A234" s="9" t="s">
        <v>408</v>
      </c>
      <c r="B234" t="s">
        <v>419</v>
      </c>
      <c r="C234" t="s">
        <v>425</v>
      </c>
      <c r="D234">
        <f>(108+108*6)/2</f>
        <v>378</v>
      </c>
      <c r="E234">
        <f>D234*2</f>
        <v>756</v>
      </c>
      <c r="F234">
        <f>D234*3</f>
        <v>1134</v>
      </c>
      <c r="G234">
        <f>D234*4</f>
        <v>1512</v>
      </c>
      <c r="H234">
        <f>D234*5</f>
        <v>1890</v>
      </c>
    </row>
    <row r="235" spans="1:8" x14ac:dyDescent="0.25">
      <c r="A235" s="9" t="s">
        <v>407</v>
      </c>
      <c r="B235" t="s">
        <v>420</v>
      </c>
      <c r="C235" t="s">
        <v>426</v>
      </c>
      <c r="D235">
        <f>(36+36*6)/2</f>
        <v>126</v>
      </c>
      <c r="E235">
        <f>D235*2</f>
        <v>252</v>
      </c>
      <c r="F235">
        <f>D235*3</f>
        <v>378</v>
      </c>
      <c r="G235">
        <f>D235*4</f>
        <v>504</v>
      </c>
      <c r="H235">
        <f>D235*5</f>
        <v>630</v>
      </c>
    </row>
    <row r="236" spans="1:8" x14ac:dyDescent="0.25">
      <c r="A236" s="9" t="s">
        <v>416</v>
      </c>
    </row>
    <row r="237" spans="1:8" x14ac:dyDescent="0.25">
      <c r="A237" s="9" t="s">
        <v>408</v>
      </c>
      <c r="B237" t="s">
        <v>417</v>
      </c>
      <c r="C237" t="s">
        <v>427</v>
      </c>
      <c r="D237">
        <f>(120+120*6)/2</f>
        <v>420</v>
      </c>
      <c r="E237">
        <f>(120+120*6)/2</f>
        <v>420</v>
      </c>
      <c r="F237">
        <f>(120+120*6)/2</f>
        <v>420</v>
      </c>
      <c r="G237">
        <f>(120+120*6)/2</f>
        <v>420</v>
      </c>
      <c r="H237">
        <f>(120+120*6)/2</f>
        <v>420</v>
      </c>
    </row>
    <row r="238" spans="1:8" x14ac:dyDescent="0.25">
      <c r="A238" s="9" t="s">
        <v>407</v>
      </c>
      <c r="B238" t="s">
        <v>409</v>
      </c>
      <c r="C238" t="s">
        <v>422</v>
      </c>
      <c r="D238">
        <f>(60+60*6)/2</f>
        <v>210</v>
      </c>
      <c r="E238">
        <f>(60+60*6)/2</f>
        <v>210</v>
      </c>
      <c r="F238">
        <f>(60+60*6)/2</f>
        <v>210</v>
      </c>
      <c r="G238">
        <f>(60+60*6)/2</f>
        <v>210</v>
      </c>
      <c r="H238">
        <f>(60+60*6)/2</f>
        <v>210</v>
      </c>
    </row>
    <row r="239" spans="1:8" x14ac:dyDescent="0.25">
      <c r="A239" s="9" t="s">
        <v>421</v>
      </c>
    </row>
    <row r="240" spans="1:8" x14ac:dyDescent="0.25">
      <c r="A240" s="9" t="s">
        <v>408</v>
      </c>
      <c r="B240" t="s">
        <v>422</v>
      </c>
      <c r="C240" t="s">
        <v>428</v>
      </c>
      <c r="D240">
        <f>(360+360*6)/2</f>
        <v>1260</v>
      </c>
      <c r="E240">
        <f>(360+360*6)/2</f>
        <v>1260</v>
      </c>
      <c r="F240">
        <f>(360+360*6)/2</f>
        <v>1260</v>
      </c>
      <c r="G240">
        <f>(360+360*6)/2</f>
        <v>1260</v>
      </c>
      <c r="H240">
        <f>(360+360*6)/2</f>
        <v>1260</v>
      </c>
    </row>
    <row r="241" spans="1:8" x14ac:dyDescent="0.25">
      <c r="A241" s="9" t="s">
        <v>407</v>
      </c>
      <c r="B241" t="s">
        <v>423</v>
      </c>
      <c r="C241" t="s">
        <v>429</v>
      </c>
      <c r="D241">
        <f>(180+180*6)/2</f>
        <v>630</v>
      </c>
      <c r="E241">
        <f>(180+180*6)/2</f>
        <v>630</v>
      </c>
      <c r="F241">
        <f>(180+180*6)/2</f>
        <v>630</v>
      </c>
      <c r="G241">
        <f>(180+180*6)/2</f>
        <v>630</v>
      </c>
      <c r="H241">
        <f>(180+180*6)/2</f>
        <v>630</v>
      </c>
    </row>
    <row r="242" spans="1:8" x14ac:dyDescent="0.25">
      <c r="A242" s="9" t="s">
        <v>437</v>
      </c>
    </row>
    <row r="243" spans="1:8" x14ac:dyDescent="0.25">
      <c r="A243" s="9" t="s">
        <v>406</v>
      </c>
      <c r="B243" t="s">
        <v>424</v>
      </c>
      <c r="C243" t="s">
        <v>208</v>
      </c>
    </row>
    <row r="244" spans="1:8" x14ac:dyDescent="0.25">
      <c r="A244" s="9" t="s">
        <v>408</v>
      </c>
      <c r="B244" t="s">
        <v>419</v>
      </c>
      <c r="C244" t="s">
        <v>438</v>
      </c>
      <c r="D244">
        <f>(324+324*6)/2</f>
        <v>1134</v>
      </c>
      <c r="E244">
        <f>D244*2</f>
        <v>2268</v>
      </c>
      <c r="F244">
        <f>D244*3</f>
        <v>3402</v>
      </c>
      <c r="G244">
        <f>D244*4</f>
        <v>4536</v>
      </c>
      <c r="H244">
        <f>D244*5</f>
        <v>5670</v>
      </c>
    </row>
    <row r="245" spans="1:8" x14ac:dyDescent="0.25">
      <c r="A245" s="9" t="s">
        <v>407</v>
      </c>
      <c r="B245" t="s">
        <v>420</v>
      </c>
      <c r="C245" t="s">
        <v>425</v>
      </c>
      <c r="D245">
        <f>(108+108*6)/2</f>
        <v>378</v>
      </c>
      <c r="E245">
        <f>D245*2</f>
        <v>756</v>
      </c>
      <c r="F245">
        <f>D245*3</f>
        <v>1134</v>
      </c>
      <c r="G245">
        <f>D245*4</f>
        <v>1512</v>
      </c>
      <c r="H245">
        <f>D245*5</f>
        <v>1890</v>
      </c>
    </row>
    <row r="246" spans="1:8" x14ac:dyDescent="0.25">
      <c r="A246" s="9" t="s">
        <v>416</v>
      </c>
    </row>
    <row r="247" spans="1:8" x14ac:dyDescent="0.25">
      <c r="A247" s="9" t="s">
        <v>408</v>
      </c>
      <c r="B247" t="s">
        <v>417</v>
      </c>
      <c r="C247" t="s">
        <v>427</v>
      </c>
      <c r="D247">
        <f>(120+120*6)/2</f>
        <v>420</v>
      </c>
      <c r="E247">
        <f>(120+120*6)/2</f>
        <v>420</v>
      </c>
      <c r="F247">
        <f>(120+120*6)/2</f>
        <v>420</v>
      </c>
      <c r="G247">
        <f>(120+120*6)/2</f>
        <v>420</v>
      </c>
      <c r="H247">
        <f>(120+120*6)/2</f>
        <v>420</v>
      </c>
    </row>
    <row r="248" spans="1:8" x14ac:dyDescent="0.25">
      <c r="A248" s="9" t="s">
        <v>407</v>
      </c>
      <c r="B248" t="s">
        <v>409</v>
      </c>
      <c r="C248" t="s">
        <v>422</v>
      </c>
      <c r="D248">
        <f>(60+60*6)/2</f>
        <v>210</v>
      </c>
      <c r="E248">
        <f>(60+60*6)/2</f>
        <v>210</v>
      </c>
      <c r="F248">
        <f>(60+60*6)/2</f>
        <v>210</v>
      </c>
      <c r="G248">
        <f>(60+60*6)/2</f>
        <v>210</v>
      </c>
      <c r="H248">
        <f>(60+60*6)/2</f>
        <v>210</v>
      </c>
    </row>
    <row r="249" spans="1:8" x14ac:dyDescent="0.25">
      <c r="A249" s="9" t="s">
        <v>421</v>
      </c>
    </row>
    <row r="250" spans="1:8" x14ac:dyDescent="0.25">
      <c r="A250" s="9" t="s">
        <v>408</v>
      </c>
      <c r="B250" t="s">
        <v>422</v>
      </c>
      <c r="C250" t="s">
        <v>428</v>
      </c>
      <c r="D250">
        <f>(360+360*6)/2</f>
        <v>1260</v>
      </c>
      <c r="E250">
        <f>(360+360*6)/2</f>
        <v>1260</v>
      </c>
      <c r="F250">
        <f>(360+360*6)/2</f>
        <v>1260</v>
      </c>
      <c r="G250">
        <f>(360+360*6)/2</f>
        <v>1260</v>
      </c>
      <c r="H250">
        <f>(360+360*6)/2</f>
        <v>1260</v>
      </c>
    </row>
    <row r="251" spans="1:8" x14ac:dyDescent="0.25">
      <c r="A251" s="9" t="s">
        <v>407</v>
      </c>
      <c r="B251" t="s">
        <v>423</v>
      </c>
      <c r="C251" t="s">
        <v>429</v>
      </c>
      <c r="D251">
        <f>(180+180*6)/2</f>
        <v>630</v>
      </c>
      <c r="E251">
        <f>(180+180*6)/2</f>
        <v>630</v>
      </c>
      <c r="F251">
        <f>(180+180*6)/2</f>
        <v>630</v>
      </c>
      <c r="G251">
        <f>(180+180*6)/2</f>
        <v>630</v>
      </c>
      <c r="H251">
        <f>(180+180*6)/2</f>
        <v>630</v>
      </c>
    </row>
    <row r="252" spans="1:8" x14ac:dyDescent="0.25">
      <c r="A252" s="9" t="s">
        <v>443</v>
      </c>
    </row>
    <row r="253" spans="1:8" x14ac:dyDescent="0.25">
      <c r="A253" s="9" t="s">
        <v>406</v>
      </c>
      <c r="B253" t="s">
        <v>424</v>
      </c>
      <c r="C253" t="s">
        <v>208</v>
      </c>
    </row>
    <row r="254" spans="1:8" x14ac:dyDescent="0.25">
      <c r="A254" s="9" t="s">
        <v>408</v>
      </c>
      <c r="B254" t="s">
        <v>419</v>
      </c>
      <c r="C254" t="s">
        <v>444</v>
      </c>
      <c r="D254">
        <f>D234*5</f>
        <v>1890</v>
      </c>
      <c r="E254">
        <f>D254*2</f>
        <v>3780</v>
      </c>
      <c r="F254">
        <f>D254*3</f>
        <v>5670</v>
      </c>
      <c r="G254">
        <f>D254*4</f>
        <v>7560</v>
      </c>
      <c r="H254">
        <f>D254*5</f>
        <v>9450</v>
      </c>
    </row>
    <row r="255" spans="1:8" x14ac:dyDescent="0.25">
      <c r="A255" s="9" t="s">
        <v>407</v>
      </c>
      <c r="B255" t="s">
        <v>420</v>
      </c>
      <c r="C255" t="s">
        <v>429</v>
      </c>
      <c r="D255">
        <f>D235*5</f>
        <v>630</v>
      </c>
      <c r="E255">
        <f>D255*2</f>
        <v>1260</v>
      </c>
      <c r="F255">
        <f>D255*3</f>
        <v>1890</v>
      </c>
      <c r="G255">
        <f>D255*4</f>
        <v>2520</v>
      </c>
      <c r="H255">
        <f>D255*5</f>
        <v>3150</v>
      </c>
    </row>
    <row r="256" spans="1:8" x14ac:dyDescent="0.25">
      <c r="A256" s="9" t="s">
        <v>416</v>
      </c>
    </row>
    <row r="257" spans="1:8" x14ac:dyDescent="0.25">
      <c r="A257" s="9" t="s">
        <v>408</v>
      </c>
      <c r="B257" t="s">
        <v>417</v>
      </c>
      <c r="C257" t="s">
        <v>427</v>
      </c>
      <c r="D257">
        <f>(120+120*6)/2</f>
        <v>420</v>
      </c>
      <c r="E257">
        <f>(120+120*6)/2</f>
        <v>420</v>
      </c>
      <c r="F257">
        <f>(120+120*6)/2</f>
        <v>420</v>
      </c>
      <c r="G257">
        <f>(120+120*6)/2</f>
        <v>420</v>
      </c>
      <c r="H257">
        <f>(120+120*6)/2</f>
        <v>420</v>
      </c>
    </row>
    <row r="258" spans="1:8" x14ac:dyDescent="0.25">
      <c r="A258" s="9" t="s">
        <v>407</v>
      </c>
      <c r="B258" t="s">
        <v>409</v>
      </c>
      <c r="C258" t="s">
        <v>422</v>
      </c>
      <c r="D258">
        <f>(60+60*6)/2</f>
        <v>210</v>
      </c>
      <c r="E258">
        <f>(60+60*6)/2</f>
        <v>210</v>
      </c>
      <c r="F258">
        <f>(60+60*6)/2</f>
        <v>210</v>
      </c>
      <c r="G258">
        <f>(60+60*6)/2</f>
        <v>210</v>
      </c>
      <c r="H258">
        <f>(60+60*6)/2</f>
        <v>210</v>
      </c>
    </row>
    <row r="259" spans="1:8" x14ac:dyDescent="0.25">
      <c r="A259" s="9" t="s">
        <v>421</v>
      </c>
    </row>
    <row r="260" spans="1:8" x14ac:dyDescent="0.25">
      <c r="A260" s="9" t="s">
        <v>408</v>
      </c>
      <c r="B260" t="s">
        <v>422</v>
      </c>
      <c r="C260" t="s">
        <v>428</v>
      </c>
      <c r="D260">
        <f>(360+360*6)/2</f>
        <v>1260</v>
      </c>
      <c r="E260">
        <f>(360+360*6)/2</f>
        <v>1260</v>
      </c>
      <c r="F260">
        <f>(360+360*6)/2</f>
        <v>1260</v>
      </c>
      <c r="G260">
        <f>(360+360*6)/2</f>
        <v>1260</v>
      </c>
      <c r="H260">
        <f>(360+360*6)/2</f>
        <v>1260</v>
      </c>
    </row>
    <row r="261" spans="1:8" x14ac:dyDescent="0.25">
      <c r="A261" s="9" t="s">
        <v>407</v>
      </c>
      <c r="B261" t="s">
        <v>423</v>
      </c>
      <c r="C261" t="s">
        <v>429</v>
      </c>
      <c r="D261">
        <f>(180+180*6)/2</f>
        <v>630</v>
      </c>
      <c r="E261">
        <f>(180+180*6)/2</f>
        <v>630</v>
      </c>
      <c r="F261">
        <f>(180+180*6)/2</f>
        <v>630</v>
      </c>
      <c r="G261">
        <f>(180+180*6)/2</f>
        <v>630</v>
      </c>
      <c r="H261">
        <f>(180+180*6)/2</f>
        <v>630</v>
      </c>
    </row>
    <row r="263" spans="1:8" x14ac:dyDescent="0.25">
      <c r="A263" s="9" t="s">
        <v>439</v>
      </c>
    </row>
    <row r="264" spans="1:8" x14ac:dyDescent="0.25">
      <c r="A264" s="9" t="s">
        <v>440</v>
      </c>
    </row>
    <row r="265" spans="1:8" x14ac:dyDescent="0.25">
      <c r="A265" s="9" t="s">
        <v>441</v>
      </c>
    </row>
    <row r="266" spans="1:8" x14ac:dyDescent="0.25">
      <c r="A266" s="9" t="s">
        <v>442</v>
      </c>
    </row>
    <row r="267" spans="1:8" x14ac:dyDescent="0.25">
      <c r="A267" s="9" t="s">
        <v>486</v>
      </c>
    </row>
    <row r="268" spans="1:8" x14ac:dyDescent="0.25">
      <c r="A268" s="9" t="s">
        <v>445</v>
      </c>
    </row>
    <row r="269" spans="1:8" x14ac:dyDescent="0.25">
      <c r="A269" s="9" t="s">
        <v>446</v>
      </c>
    </row>
    <row r="271" spans="1:8" x14ac:dyDescent="0.25">
      <c r="A271" s="9" t="s">
        <v>447</v>
      </c>
    </row>
    <row r="272" spans="1:8" x14ac:dyDescent="0.25">
      <c r="A272" s="9" t="s">
        <v>406</v>
      </c>
      <c r="B272" t="s">
        <v>424</v>
      </c>
      <c r="C272" t="s">
        <v>208</v>
      </c>
    </row>
    <row r="273" spans="1:8" x14ac:dyDescent="0.25">
      <c r="A273" s="9" t="s">
        <v>408</v>
      </c>
      <c r="B273" t="s">
        <v>419</v>
      </c>
      <c r="C273" t="s">
        <v>449</v>
      </c>
      <c r="D273">
        <f>D254*2</f>
        <v>3780</v>
      </c>
      <c r="E273">
        <f>D273*2</f>
        <v>7560</v>
      </c>
      <c r="F273">
        <f>D273*3</f>
        <v>11340</v>
      </c>
      <c r="G273">
        <f>D273*4</f>
        <v>15120</v>
      </c>
      <c r="H273">
        <f>D273*5</f>
        <v>18900</v>
      </c>
    </row>
    <row r="274" spans="1:8" x14ac:dyDescent="0.25">
      <c r="A274" s="9" t="s">
        <v>407</v>
      </c>
      <c r="B274" t="s">
        <v>420</v>
      </c>
      <c r="C274" t="s">
        <v>428</v>
      </c>
      <c r="D274">
        <f>D255*2</f>
        <v>1260</v>
      </c>
      <c r="E274">
        <f>D274*2</f>
        <v>2520</v>
      </c>
      <c r="F274">
        <f>D274*3</f>
        <v>3780</v>
      </c>
      <c r="G274">
        <f>D274*4</f>
        <v>5040</v>
      </c>
      <c r="H274">
        <f>D274*5</f>
        <v>6300</v>
      </c>
    </row>
    <row r="275" spans="1:8" x14ac:dyDescent="0.25">
      <c r="A275" s="9"/>
    </row>
    <row r="276" spans="1:8" x14ac:dyDescent="0.25">
      <c r="A276" s="9" t="s">
        <v>448</v>
      </c>
    </row>
    <row r="277" spans="1:8" x14ac:dyDescent="0.25">
      <c r="A277" s="9"/>
    </row>
    <row r="278" spans="1:8" x14ac:dyDescent="0.25">
      <c r="A278" s="9" t="s">
        <v>406</v>
      </c>
      <c r="B278" t="s">
        <v>424</v>
      </c>
      <c r="C278" t="s">
        <v>208</v>
      </c>
    </row>
    <row r="279" spans="1:8" x14ac:dyDescent="0.25">
      <c r="A279" s="9" t="s">
        <v>408</v>
      </c>
      <c r="B279" t="s">
        <v>419</v>
      </c>
      <c r="C279" t="s">
        <v>450</v>
      </c>
      <c r="D279">
        <f>D273*18</f>
        <v>68040</v>
      </c>
      <c r="E279">
        <f>D279*2</f>
        <v>136080</v>
      </c>
      <c r="F279">
        <f>D279*3</f>
        <v>204120</v>
      </c>
      <c r="G279">
        <f>D279*4</f>
        <v>272160</v>
      </c>
      <c r="H279">
        <f>D279*5</f>
        <v>340200</v>
      </c>
    </row>
    <row r="280" spans="1:8" x14ac:dyDescent="0.25">
      <c r="A280" s="9" t="s">
        <v>407</v>
      </c>
      <c r="B280" t="s">
        <v>420</v>
      </c>
      <c r="C280" t="s">
        <v>451</v>
      </c>
      <c r="D280">
        <f>D274*18</f>
        <v>22680</v>
      </c>
      <c r="E280">
        <f>D280*2</f>
        <v>45360</v>
      </c>
      <c r="F280">
        <f>D280*3</f>
        <v>68040</v>
      </c>
      <c r="G280">
        <f>D280*4</f>
        <v>90720</v>
      </c>
      <c r="H280">
        <f>D280*5</f>
        <v>113400</v>
      </c>
    </row>
    <row r="282" spans="1:8" x14ac:dyDescent="0.25">
      <c r="A282" s="9" t="s">
        <v>452</v>
      </c>
    </row>
    <row r="283" spans="1:8" x14ac:dyDescent="0.25">
      <c r="A283" s="9" t="s">
        <v>453</v>
      </c>
    </row>
    <row r="284" spans="1:8" x14ac:dyDescent="0.25">
      <c r="A284" s="9" t="s">
        <v>454</v>
      </c>
    </row>
    <row r="285" spans="1:8" x14ac:dyDescent="0.25">
      <c r="A285" s="9" t="s">
        <v>455</v>
      </c>
    </row>
    <row r="286" spans="1:8" x14ac:dyDescent="0.25">
      <c r="A286" s="9" t="s">
        <v>456</v>
      </c>
    </row>
    <row r="287" spans="1:8" x14ac:dyDescent="0.25">
      <c r="A287">
        <f>340200/18</f>
        <v>18900</v>
      </c>
    </row>
    <row r="288" spans="1:8" x14ac:dyDescent="0.25">
      <c r="A288" s="9" t="s">
        <v>457</v>
      </c>
    </row>
    <row r="289" spans="1:1" x14ac:dyDescent="0.25">
      <c r="A289">
        <f>18900*50</f>
        <v>945000</v>
      </c>
    </row>
    <row r="290" spans="1:1" x14ac:dyDescent="0.25">
      <c r="A290" s="9" t="s">
        <v>458</v>
      </c>
    </row>
    <row r="291" spans="1:1" x14ac:dyDescent="0.25">
      <c r="A291">
        <f>18900*50+69318</f>
        <v>1014318</v>
      </c>
    </row>
    <row r="292" spans="1:1" x14ac:dyDescent="0.25">
      <c r="A292" s="14" t="s">
        <v>459</v>
      </c>
    </row>
    <row r="293" spans="1:1" x14ac:dyDescent="0.25">
      <c r="A293" t="s">
        <v>460</v>
      </c>
    </row>
    <row r="294" spans="1:1" x14ac:dyDescent="0.25">
      <c r="A294" t="s">
        <v>461</v>
      </c>
    </row>
    <row r="295" spans="1:1" x14ac:dyDescent="0.25">
      <c r="A295" t="s">
        <v>462</v>
      </c>
    </row>
    <row r="296" spans="1:1" x14ac:dyDescent="0.25">
      <c r="A296">
        <f>18900*53</f>
        <v>1001700</v>
      </c>
    </row>
    <row r="297" spans="1:1" x14ac:dyDescent="0.25">
      <c r="A297" t="s">
        <v>463</v>
      </c>
    </row>
    <row r="298" spans="1:1" x14ac:dyDescent="0.25">
      <c r="A298" t="s">
        <v>464</v>
      </c>
    </row>
    <row r="299" spans="1:1" x14ac:dyDescent="0.25">
      <c r="A299">
        <f>18900*0.4</f>
        <v>7560</v>
      </c>
    </row>
    <row r="300" spans="1:1" x14ac:dyDescent="0.25">
      <c r="A300" t="s">
        <v>465</v>
      </c>
    </row>
    <row r="301" spans="1:1" x14ac:dyDescent="0.25">
      <c r="A301">
        <f>A299*124+69318</f>
        <v>1006758</v>
      </c>
    </row>
    <row r="302" spans="1:1" x14ac:dyDescent="0.25">
      <c r="A302" t="s">
        <v>466</v>
      </c>
    </row>
    <row r="303" spans="1:1" x14ac:dyDescent="0.25">
      <c r="A303" t="s">
        <v>467</v>
      </c>
    </row>
    <row r="304" spans="1:1" x14ac:dyDescent="0.25">
      <c r="A304">
        <f>A299*133</f>
        <v>1005480</v>
      </c>
    </row>
    <row r="305" spans="1:1" x14ac:dyDescent="0.25">
      <c r="A305" t="s">
        <v>468</v>
      </c>
    </row>
    <row r="306" spans="1:1" x14ac:dyDescent="0.25">
      <c r="A306" t="s">
        <v>469</v>
      </c>
    </row>
    <row r="307" spans="1:1" x14ac:dyDescent="0.25">
      <c r="A307" t="s">
        <v>470</v>
      </c>
    </row>
    <row r="308" spans="1:1" x14ac:dyDescent="0.25">
      <c r="A308" t="s">
        <v>471</v>
      </c>
    </row>
    <row r="309" spans="1:1" x14ac:dyDescent="0.25">
      <c r="A309" t="s">
        <v>474</v>
      </c>
    </row>
  </sheetData>
  <sortState ref="A178:B191">
    <sortCondition descending="1" ref="B178"/>
  </sortState>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3:V63"/>
  <sheetViews>
    <sheetView workbookViewId="0">
      <selection activeCell="A44" sqref="A44"/>
    </sheetView>
  </sheetViews>
  <sheetFormatPr defaultRowHeight="15" x14ac:dyDescent="0.25"/>
  <sheetData>
    <row r="3" spans="1:9" x14ac:dyDescent="0.25">
      <c r="B3" t="s">
        <v>505</v>
      </c>
    </row>
    <row r="4" spans="1:9" x14ac:dyDescent="0.25">
      <c r="H4" t="s">
        <v>515</v>
      </c>
    </row>
    <row r="5" spans="1:9" x14ac:dyDescent="0.25">
      <c r="C5" t="s">
        <v>499</v>
      </c>
      <c r="D5" t="s">
        <v>500</v>
      </c>
      <c r="E5" t="s">
        <v>501</v>
      </c>
      <c r="F5" t="s">
        <v>502</v>
      </c>
      <c r="G5" t="s">
        <v>503</v>
      </c>
      <c r="H5" t="s">
        <v>504</v>
      </c>
    </row>
    <row r="6" spans="1:9" x14ac:dyDescent="0.25">
      <c r="A6" t="s">
        <v>506</v>
      </c>
      <c r="C6">
        <v>3.5</v>
      </c>
      <c r="D6">
        <v>3.5</v>
      </c>
      <c r="E6">
        <v>3.5</v>
      </c>
      <c r="F6">
        <v>5.5</v>
      </c>
      <c r="G6">
        <v>5.5</v>
      </c>
      <c r="H6">
        <v>5.5</v>
      </c>
    </row>
    <row r="7" spans="1:9" x14ac:dyDescent="0.25">
      <c r="A7" t="s">
        <v>507</v>
      </c>
      <c r="C7">
        <v>10</v>
      </c>
      <c r="D7">
        <v>13</v>
      </c>
      <c r="E7">
        <v>6</v>
      </c>
      <c r="F7">
        <v>3</v>
      </c>
      <c r="G7">
        <v>3</v>
      </c>
      <c r="H7">
        <v>4</v>
      </c>
    </row>
    <row r="8" spans="1:9" x14ac:dyDescent="0.25">
      <c r="A8" t="s">
        <v>155</v>
      </c>
      <c r="C8">
        <v>7</v>
      </c>
      <c r="D8">
        <v>7</v>
      </c>
      <c r="E8">
        <v>14</v>
      </c>
      <c r="F8">
        <v>7</v>
      </c>
      <c r="G8">
        <v>7</v>
      </c>
      <c r="H8">
        <v>7</v>
      </c>
    </row>
    <row r="9" spans="1:9" x14ac:dyDescent="0.25">
      <c r="A9" t="s">
        <v>91</v>
      </c>
      <c r="C9">
        <v>3</v>
      </c>
      <c r="D9">
        <v>3</v>
      </c>
      <c r="E9">
        <v>3</v>
      </c>
      <c r="F9">
        <v>3</v>
      </c>
      <c r="G9">
        <v>3</v>
      </c>
      <c r="H9">
        <v>3</v>
      </c>
    </row>
    <row r="10" spans="1:9" x14ac:dyDescent="0.25">
      <c r="A10" t="s">
        <v>88</v>
      </c>
      <c r="C10">
        <v>6</v>
      </c>
      <c r="D10">
        <v>6</v>
      </c>
      <c r="E10">
        <v>6</v>
      </c>
      <c r="F10">
        <v>6</v>
      </c>
      <c r="G10">
        <v>6</v>
      </c>
      <c r="H10">
        <v>4</v>
      </c>
    </row>
    <row r="11" spans="1:9" x14ac:dyDescent="0.25">
      <c r="A11" t="s">
        <v>508</v>
      </c>
      <c r="C11">
        <f t="shared" ref="C11:H11" si="0">SUM(C6:C10)</f>
        <v>29.5</v>
      </c>
      <c r="D11">
        <f t="shared" si="0"/>
        <v>32.5</v>
      </c>
      <c r="E11">
        <f t="shared" si="0"/>
        <v>32.5</v>
      </c>
      <c r="F11">
        <f t="shared" si="0"/>
        <v>24.5</v>
      </c>
      <c r="G11">
        <f t="shared" si="0"/>
        <v>24.5</v>
      </c>
      <c r="H11">
        <f t="shared" si="0"/>
        <v>23.5</v>
      </c>
    </row>
    <row r="12" spans="1:9" x14ac:dyDescent="0.25">
      <c r="A12" t="s">
        <v>509</v>
      </c>
      <c r="C12">
        <v>5</v>
      </c>
      <c r="D12">
        <v>4</v>
      </c>
      <c r="E12">
        <v>4</v>
      </c>
      <c r="F12">
        <v>4</v>
      </c>
      <c r="G12">
        <v>4</v>
      </c>
      <c r="H12">
        <v>4</v>
      </c>
    </row>
    <row r="13" spans="1:9" x14ac:dyDescent="0.25">
      <c r="A13" t="s">
        <v>510</v>
      </c>
      <c r="C13">
        <f>4.5+2+3+6+7</f>
        <v>22.5</v>
      </c>
      <c r="D13">
        <v>0</v>
      </c>
      <c r="E13">
        <f>5+3+3+6+14</f>
        <v>31</v>
      </c>
      <c r="F13">
        <f>4.5+3+3+3+6+7</f>
        <v>26.5</v>
      </c>
      <c r="G13">
        <v>0</v>
      </c>
      <c r="H13">
        <v>0</v>
      </c>
    </row>
    <row r="14" spans="1:9" x14ac:dyDescent="0.25">
      <c r="C14">
        <f t="shared" ref="C14:H14" si="1">C11*C12+C13</f>
        <v>170</v>
      </c>
      <c r="D14">
        <f t="shared" si="1"/>
        <v>130</v>
      </c>
      <c r="E14">
        <f t="shared" si="1"/>
        <v>161</v>
      </c>
      <c r="F14">
        <f t="shared" si="1"/>
        <v>124.5</v>
      </c>
      <c r="G14">
        <f t="shared" si="1"/>
        <v>98</v>
      </c>
      <c r="H14">
        <f t="shared" si="1"/>
        <v>94</v>
      </c>
      <c r="I14">
        <f>SUM(C14:H14)</f>
        <v>777.5</v>
      </c>
    </row>
    <row r="15" spans="1:9" x14ac:dyDescent="0.25">
      <c r="I15" t="s">
        <v>231</v>
      </c>
    </row>
    <row r="18" spans="1:9" x14ac:dyDescent="0.25">
      <c r="B18" t="s">
        <v>511</v>
      </c>
    </row>
    <row r="19" spans="1:9" x14ac:dyDescent="0.25">
      <c r="H19" t="s">
        <v>512</v>
      </c>
    </row>
    <row r="20" spans="1:9" x14ac:dyDescent="0.25">
      <c r="C20" t="s">
        <v>499</v>
      </c>
      <c r="D20" t="s">
        <v>500</v>
      </c>
      <c r="E20" t="s">
        <v>501</v>
      </c>
      <c r="F20" t="s">
        <v>502</v>
      </c>
      <c r="G20" t="s">
        <v>503</v>
      </c>
    </row>
    <row r="21" spans="1:9" x14ac:dyDescent="0.25">
      <c r="A21" t="s">
        <v>506</v>
      </c>
      <c r="C21">
        <v>3.5</v>
      </c>
      <c r="D21">
        <v>3.5</v>
      </c>
      <c r="E21">
        <v>3.5</v>
      </c>
      <c r="F21">
        <v>5.5</v>
      </c>
      <c r="G21">
        <v>5.5</v>
      </c>
      <c r="H21">
        <v>0</v>
      </c>
    </row>
    <row r="22" spans="1:9" x14ac:dyDescent="0.25">
      <c r="A22" t="s">
        <v>507</v>
      </c>
      <c r="C22">
        <v>10</v>
      </c>
      <c r="D22">
        <v>13</v>
      </c>
      <c r="E22">
        <v>6</v>
      </c>
      <c r="F22">
        <v>3</v>
      </c>
      <c r="G22">
        <v>3</v>
      </c>
      <c r="H22">
        <v>0</v>
      </c>
    </row>
    <row r="23" spans="1:9" x14ac:dyDescent="0.25">
      <c r="A23" t="s">
        <v>513</v>
      </c>
      <c r="C23">
        <v>4</v>
      </c>
      <c r="D23">
        <v>4</v>
      </c>
      <c r="E23">
        <v>4</v>
      </c>
      <c r="F23">
        <v>4</v>
      </c>
      <c r="G23">
        <v>4</v>
      </c>
      <c r="H23">
        <v>0</v>
      </c>
    </row>
    <row r="24" spans="1:9" x14ac:dyDescent="0.25">
      <c r="A24" t="s">
        <v>155</v>
      </c>
      <c r="C24">
        <v>7</v>
      </c>
      <c r="D24">
        <v>7</v>
      </c>
      <c r="E24">
        <v>14</v>
      </c>
      <c r="F24">
        <v>7</v>
      </c>
      <c r="G24">
        <v>7</v>
      </c>
      <c r="H24">
        <v>0</v>
      </c>
    </row>
    <row r="25" spans="1:9" x14ac:dyDescent="0.25">
      <c r="A25" t="s">
        <v>91</v>
      </c>
      <c r="C25">
        <v>3</v>
      </c>
      <c r="D25">
        <v>3</v>
      </c>
      <c r="E25">
        <v>3</v>
      </c>
      <c r="F25">
        <v>3</v>
      </c>
      <c r="G25">
        <v>3</v>
      </c>
      <c r="H25">
        <v>0</v>
      </c>
    </row>
    <row r="26" spans="1:9" x14ac:dyDescent="0.25">
      <c r="A26" t="s">
        <v>88</v>
      </c>
      <c r="C26">
        <v>6</v>
      </c>
      <c r="D26">
        <v>6</v>
      </c>
      <c r="E26">
        <v>6</v>
      </c>
      <c r="F26">
        <v>6</v>
      </c>
      <c r="G26">
        <v>6</v>
      </c>
      <c r="H26">
        <v>0</v>
      </c>
    </row>
    <row r="27" spans="1:9" x14ac:dyDescent="0.25">
      <c r="A27" t="s">
        <v>508</v>
      </c>
      <c r="C27">
        <f t="shared" ref="C27:H27" si="2">SUM(C21:C26)</f>
        <v>33.5</v>
      </c>
      <c r="D27">
        <f t="shared" si="2"/>
        <v>36.5</v>
      </c>
      <c r="E27">
        <f t="shared" si="2"/>
        <v>36.5</v>
      </c>
      <c r="F27">
        <f t="shared" si="2"/>
        <v>28.5</v>
      </c>
      <c r="G27">
        <f t="shared" si="2"/>
        <v>28.5</v>
      </c>
      <c r="H27">
        <f t="shared" si="2"/>
        <v>0</v>
      </c>
    </row>
    <row r="28" spans="1:9" x14ac:dyDescent="0.25">
      <c r="A28" t="s">
        <v>509</v>
      </c>
      <c r="C28">
        <v>5</v>
      </c>
      <c r="D28">
        <v>4</v>
      </c>
      <c r="E28">
        <v>4</v>
      </c>
      <c r="F28">
        <v>4</v>
      </c>
      <c r="G28">
        <v>4</v>
      </c>
      <c r="H28">
        <v>0</v>
      </c>
    </row>
    <row r="29" spans="1:9" x14ac:dyDescent="0.25">
      <c r="A29" t="s">
        <v>510</v>
      </c>
      <c r="C29">
        <f>4.5+2+3+6+7</f>
        <v>22.5</v>
      </c>
      <c r="D29">
        <v>0</v>
      </c>
      <c r="E29">
        <f>5+3+3+6+14</f>
        <v>31</v>
      </c>
      <c r="F29">
        <f>4.5+3+3+3+6+7</f>
        <v>26.5</v>
      </c>
      <c r="G29">
        <v>0</v>
      </c>
      <c r="H29">
        <v>0</v>
      </c>
    </row>
    <row r="30" spans="1:9" x14ac:dyDescent="0.25">
      <c r="C30">
        <f t="shared" ref="C30:H30" si="3">C27*C28+C29</f>
        <v>190</v>
      </c>
      <c r="D30">
        <f t="shared" si="3"/>
        <v>146</v>
      </c>
      <c r="E30">
        <f t="shared" si="3"/>
        <v>177</v>
      </c>
      <c r="F30">
        <f t="shared" si="3"/>
        <v>140.5</v>
      </c>
      <c r="G30">
        <f t="shared" si="3"/>
        <v>114</v>
      </c>
      <c r="H30">
        <f t="shared" si="3"/>
        <v>0</v>
      </c>
      <c r="I30">
        <f>SUM(C30:H30)</f>
        <v>767.5</v>
      </c>
    </row>
    <row r="31" spans="1:9" x14ac:dyDescent="0.25">
      <c r="I31" t="s">
        <v>231</v>
      </c>
    </row>
    <row r="33" spans="1:21" x14ac:dyDescent="0.25">
      <c r="B33" t="s">
        <v>514</v>
      </c>
    </row>
    <row r="34" spans="1:21" x14ac:dyDescent="0.25">
      <c r="B34">
        <f>I30/I14-1</f>
        <v>-1.2861736334405127E-2</v>
      </c>
    </row>
    <row r="35" spans="1:21" x14ac:dyDescent="0.25">
      <c r="Q35">
        <v>1</v>
      </c>
      <c r="R35" t="s">
        <v>520</v>
      </c>
      <c r="T35">
        <v>9</v>
      </c>
      <c r="U35">
        <v>3</v>
      </c>
    </row>
    <row r="36" spans="1:21" x14ac:dyDescent="0.25">
      <c r="B36" t="s">
        <v>516</v>
      </c>
      <c r="Q36">
        <v>10</v>
      </c>
      <c r="R36" t="s">
        <v>521</v>
      </c>
      <c r="S36">
        <v>-1</v>
      </c>
      <c r="T36">
        <v>13</v>
      </c>
      <c r="U36">
        <v>4</v>
      </c>
    </row>
    <row r="37" spans="1:21" x14ac:dyDescent="0.25">
      <c r="B37" t="s">
        <v>517</v>
      </c>
      <c r="Q37">
        <v>15</v>
      </c>
      <c r="R37" t="s">
        <v>523</v>
      </c>
      <c r="S37">
        <v>-2</v>
      </c>
      <c r="T37">
        <v>17</v>
      </c>
      <c r="U37">
        <v>5</v>
      </c>
    </row>
    <row r="38" spans="1:21" x14ac:dyDescent="0.25">
      <c r="B38" t="s">
        <v>518</v>
      </c>
      <c r="Q38">
        <v>20</v>
      </c>
      <c r="R38" t="s">
        <v>522</v>
      </c>
      <c r="S38">
        <v>-3</v>
      </c>
      <c r="T38">
        <v>21</v>
      </c>
      <c r="U38">
        <v>6</v>
      </c>
    </row>
    <row r="39" spans="1:21" x14ac:dyDescent="0.25">
      <c r="G39" t="s">
        <v>512</v>
      </c>
      <c r="H39" t="s">
        <v>512</v>
      </c>
      <c r="Q39">
        <v>25</v>
      </c>
      <c r="R39" t="s">
        <v>524</v>
      </c>
      <c r="S39">
        <v>-4</v>
      </c>
      <c r="T39">
        <v>31</v>
      </c>
      <c r="U39">
        <v>7</v>
      </c>
    </row>
    <row r="40" spans="1:21" x14ac:dyDescent="0.25">
      <c r="C40" t="s">
        <v>499</v>
      </c>
      <c r="D40" t="s">
        <v>500</v>
      </c>
      <c r="E40" t="s">
        <v>501</v>
      </c>
      <c r="F40" t="s">
        <v>502</v>
      </c>
    </row>
    <row r="41" spans="1:21" x14ac:dyDescent="0.25">
      <c r="A41" t="s">
        <v>506</v>
      </c>
      <c r="C41">
        <v>3.5</v>
      </c>
      <c r="D41">
        <v>3.5</v>
      </c>
      <c r="E41">
        <v>3.5</v>
      </c>
      <c r="F41">
        <v>5.5</v>
      </c>
      <c r="G41">
        <v>0</v>
      </c>
      <c r="H41">
        <v>0</v>
      </c>
      <c r="L41">
        <v>5.5</v>
      </c>
      <c r="M41">
        <v>9</v>
      </c>
      <c r="N41">
        <v>9</v>
      </c>
      <c r="P41">
        <v>5.5</v>
      </c>
      <c r="Q41">
        <v>13</v>
      </c>
      <c r="R41">
        <v>13</v>
      </c>
    </row>
    <row r="42" spans="1:21" x14ac:dyDescent="0.25">
      <c r="A42" t="s">
        <v>507</v>
      </c>
      <c r="C42">
        <v>10</v>
      </c>
      <c r="D42">
        <v>13</v>
      </c>
      <c r="E42">
        <v>6</v>
      </c>
      <c r="F42">
        <v>3</v>
      </c>
      <c r="G42">
        <v>0</v>
      </c>
      <c r="H42">
        <v>0</v>
      </c>
      <c r="L42">
        <v>3</v>
      </c>
      <c r="M42">
        <v>9</v>
      </c>
      <c r="P42">
        <v>3</v>
      </c>
      <c r="Q42">
        <v>13</v>
      </c>
    </row>
    <row r="43" spans="1:21" x14ac:dyDescent="0.25">
      <c r="A43" t="s">
        <v>513</v>
      </c>
      <c r="C43">
        <v>8</v>
      </c>
      <c r="D43">
        <v>8</v>
      </c>
      <c r="E43">
        <v>8</v>
      </c>
      <c r="F43">
        <v>8</v>
      </c>
      <c r="G43">
        <v>0</v>
      </c>
      <c r="H43">
        <v>0</v>
      </c>
      <c r="L43">
        <v>0</v>
      </c>
      <c r="M43">
        <v>9</v>
      </c>
      <c r="N43">
        <v>9</v>
      </c>
      <c r="P43">
        <v>0</v>
      </c>
      <c r="Q43">
        <v>13</v>
      </c>
      <c r="R43">
        <v>13</v>
      </c>
    </row>
    <row r="44" spans="1:21" x14ac:dyDescent="0.25">
      <c r="A44" t="s">
        <v>155</v>
      </c>
      <c r="C44">
        <v>7</v>
      </c>
      <c r="D44">
        <v>7</v>
      </c>
      <c r="E44">
        <v>14</v>
      </c>
      <c r="F44">
        <v>7</v>
      </c>
      <c r="G44">
        <v>0</v>
      </c>
      <c r="H44">
        <v>0</v>
      </c>
      <c r="L44">
        <v>7</v>
      </c>
      <c r="M44">
        <v>9</v>
      </c>
      <c r="P44">
        <v>7</v>
      </c>
      <c r="Q44">
        <v>13</v>
      </c>
    </row>
    <row r="45" spans="1:21" x14ac:dyDescent="0.25">
      <c r="A45" t="s">
        <v>91</v>
      </c>
      <c r="C45">
        <v>3</v>
      </c>
      <c r="D45">
        <v>3</v>
      </c>
      <c r="E45">
        <v>3</v>
      </c>
      <c r="F45">
        <v>3</v>
      </c>
      <c r="G45">
        <v>0</v>
      </c>
      <c r="H45">
        <v>0</v>
      </c>
      <c r="L45">
        <v>3</v>
      </c>
      <c r="M45">
        <v>9</v>
      </c>
      <c r="N45">
        <v>9</v>
      </c>
      <c r="P45">
        <v>3</v>
      </c>
      <c r="Q45">
        <v>13</v>
      </c>
      <c r="R45">
        <v>13</v>
      </c>
    </row>
    <row r="46" spans="1:21" x14ac:dyDescent="0.25">
      <c r="A46" t="s">
        <v>88</v>
      </c>
      <c r="C46">
        <v>6</v>
      </c>
      <c r="D46">
        <v>6</v>
      </c>
      <c r="E46">
        <v>6</v>
      </c>
      <c r="F46">
        <v>6</v>
      </c>
      <c r="G46">
        <v>0</v>
      </c>
      <c r="H46">
        <v>0</v>
      </c>
      <c r="L46">
        <v>0</v>
      </c>
      <c r="M46">
        <v>9</v>
      </c>
      <c r="P46">
        <v>0</v>
      </c>
      <c r="Q46">
        <v>13</v>
      </c>
    </row>
    <row r="47" spans="1:21" x14ac:dyDescent="0.25">
      <c r="A47" t="s">
        <v>508</v>
      </c>
      <c r="C47">
        <f t="shared" ref="C47:H47" si="4">SUM(C41:C46)</f>
        <v>37.5</v>
      </c>
      <c r="D47">
        <f t="shared" si="4"/>
        <v>40.5</v>
      </c>
      <c r="E47">
        <f t="shared" si="4"/>
        <v>40.5</v>
      </c>
      <c r="F47">
        <f t="shared" si="4"/>
        <v>32.5</v>
      </c>
      <c r="G47">
        <f t="shared" si="4"/>
        <v>0</v>
      </c>
      <c r="H47">
        <f t="shared" si="4"/>
        <v>0</v>
      </c>
      <c r="L47">
        <f>SUM(L41:L46)</f>
        <v>18.5</v>
      </c>
      <c r="M47">
        <f>SUM(M41:M46)</f>
        <v>54</v>
      </c>
      <c r="N47">
        <f>SUM(N41:N46)</f>
        <v>27</v>
      </c>
      <c r="P47">
        <f>SUM(P41:P46)</f>
        <v>18.5</v>
      </c>
      <c r="Q47">
        <f>SUM(Q41:Q46)</f>
        <v>78</v>
      </c>
      <c r="R47">
        <f>SUM(R41:R46)</f>
        <v>39</v>
      </c>
    </row>
    <row r="48" spans="1:21" x14ac:dyDescent="0.25">
      <c r="A48" t="s">
        <v>509</v>
      </c>
      <c r="C48">
        <v>5</v>
      </c>
      <c r="D48">
        <v>4</v>
      </c>
      <c r="E48">
        <v>4</v>
      </c>
      <c r="F48">
        <v>4</v>
      </c>
      <c r="G48">
        <v>0</v>
      </c>
      <c r="H48">
        <v>0</v>
      </c>
      <c r="L48">
        <v>6</v>
      </c>
      <c r="M48">
        <v>5</v>
      </c>
      <c r="N48">
        <v>5</v>
      </c>
      <c r="P48">
        <v>6</v>
      </c>
      <c r="Q48">
        <v>5</v>
      </c>
      <c r="R48">
        <v>5</v>
      </c>
    </row>
    <row r="49" spans="1:22" x14ac:dyDescent="0.25">
      <c r="A49" t="s">
        <v>510</v>
      </c>
      <c r="C49">
        <f>4.5+2+3+6+7</f>
        <v>22.5</v>
      </c>
      <c r="D49">
        <v>0</v>
      </c>
      <c r="E49">
        <f>5+3+3+6+14</f>
        <v>31</v>
      </c>
      <c r="F49">
        <f>4.5+3+3+3+6+7</f>
        <v>26.5</v>
      </c>
      <c r="G49">
        <v>0</v>
      </c>
      <c r="H49">
        <v>0</v>
      </c>
      <c r="L49">
        <v>0</v>
      </c>
      <c r="P49">
        <v>0</v>
      </c>
    </row>
    <row r="50" spans="1:22" x14ac:dyDescent="0.25">
      <c r="C50">
        <f t="shared" ref="C50:H50" si="5">C47*C48+C49</f>
        <v>210</v>
      </c>
      <c r="D50">
        <f t="shared" si="5"/>
        <v>162</v>
      </c>
      <c r="E50">
        <f t="shared" si="5"/>
        <v>193</v>
      </c>
      <c r="F50">
        <f t="shared" si="5"/>
        <v>156.5</v>
      </c>
      <c r="G50">
        <f t="shared" si="5"/>
        <v>0</v>
      </c>
      <c r="H50">
        <f t="shared" si="5"/>
        <v>0</v>
      </c>
      <c r="I50">
        <f>SUM(C50:H50)</f>
        <v>721.5</v>
      </c>
      <c r="L50">
        <f>L47*L48+L49</f>
        <v>111</v>
      </c>
      <c r="M50">
        <f>M47*M48+M49</f>
        <v>270</v>
      </c>
      <c r="N50">
        <f>N47*N48+N49</f>
        <v>135</v>
      </c>
      <c r="P50">
        <f>P47*P48+P49</f>
        <v>111</v>
      </c>
      <c r="Q50">
        <f>Q47*Q48+Q49</f>
        <v>390</v>
      </c>
      <c r="R50">
        <f>R47*R48+R49</f>
        <v>195</v>
      </c>
    </row>
    <row r="51" spans="1:22" x14ac:dyDescent="0.25">
      <c r="I51" t="s">
        <v>231</v>
      </c>
      <c r="M51">
        <f>M50*0.25</f>
        <v>67.5</v>
      </c>
      <c r="N51">
        <f>N50*0.25</f>
        <v>33.75</v>
      </c>
      <c r="Q51">
        <f>Q50*0.25</f>
        <v>97.5</v>
      </c>
      <c r="R51">
        <f>R50*0.25</f>
        <v>48.75</v>
      </c>
    </row>
    <row r="53" spans="1:22" x14ac:dyDescent="0.25">
      <c r="B53" t="s">
        <v>519</v>
      </c>
      <c r="L53">
        <v>5.5</v>
      </c>
      <c r="M53">
        <v>17</v>
      </c>
      <c r="N53">
        <v>17</v>
      </c>
      <c r="P53">
        <v>5.5</v>
      </c>
      <c r="Q53">
        <v>21</v>
      </c>
      <c r="R53">
        <v>21</v>
      </c>
      <c r="T53">
        <v>5.5</v>
      </c>
      <c r="U53">
        <v>31</v>
      </c>
      <c r="V53">
        <v>31</v>
      </c>
    </row>
    <row r="54" spans="1:22" x14ac:dyDescent="0.25">
      <c r="B54">
        <f>I50/I30-1</f>
        <v>-5.9934853420195444E-2</v>
      </c>
      <c r="L54">
        <v>3</v>
      </c>
      <c r="M54">
        <v>17</v>
      </c>
      <c r="P54">
        <v>3</v>
      </c>
      <c r="Q54">
        <v>21</v>
      </c>
      <c r="T54">
        <v>3</v>
      </c>
      <c r="U54">
        <v>31</v>
      </c>
    </row>
    <row r="55" spans="1:22" x14ac:dyDescent="0.25">
      <c r="L55">
        <v>0</v>
      </c>
      <c r="M55">
        <v>17</v>
      </c>
      <c r="N55">
        <v>17</v>
      </c>
      <c r="P55">
        <v>0</v>
      </c>
      <c r="Q55">
        <v>21</v>
      </c>
      <c r="R55">
        <v>21</v>
      </c>
      <c r="T55">
        <v>0</v>
      </c>
      <c r="U55">
        <v>31</v>
      </c>
      <c r="V55">
        <v>31</v>
      </c>
    </row>
    <row r="56" spans="1:22" x14ac:dyDescent="0.25">
      <c r="L56">
        <v>7</v>
      </c>
      <c r="M56">
        <v>17</v>
      </c>
      <c r="P56">
        <v>7</v>
      </c>
      <c r="Q56">
        <v>21</v>
      </c>
      <c r="T56">
        <v>7</v>
      </c>
      <c r="U56">
        <v>31</v>
      </c>
    </row>
    <row r="57" spans="1:22" x14ac:dyDescent="0.25">
      <c r="L57">
        <v>3</v>
      </c>
      <c r="M57">
        <v>17</v>
      </c>
      <c r="N57">
        <v>17</v>
      </c>
      <c r="P57">
        <v>3</v>
      </c>
      <c r="Q57">
        <v>21</v>
      </c>
      <c r="R57">
        <v>21</v>
      </c>
      <c r="T57">
        <v>3</v>
      </c>
      <c r="U57">
        <v>31</v>
      </c>
      <c r="V57">
        <v>31</v>
      </c>
    </row>
    <row r="58" spans="1:22" x14ac:dyDescent="0.25">
      <c r="L58">
        <v>0</v>
      </c>
      <c r="M58">
        <v>17</v>
      </c>
      <c r="P58">
        <v>0</v>
      </c>
      <c r="Q58">
        <v>21</v>
      </c>
      <c r="T58">
        <v>0</v>
      </c>
      <c r="U58">
        <v>31</v>
      </c>
    </row>
    <row r="59" spans="1:22" x14ac:dyDescent="0.25">
      <c r="L59">
        <f>SUM(L53:L58)</f>
        <v>18.5</v>
      </c>
      <c r="M59">
        <f>SUM(M53:M58)</f>
        <v>102</v>
      </c>
      <c r="N59">
        <f>SUM(N53:N58)</f>
        <v>51</v>
      </c>
      <c r="P59">
        <f>SUM(P53:P58)</f>
        <v>18.5</v>
      </c>
      <c r="Q59">
        <f>SUM(Q53:Q58)</f>
        <v>126</v>
      </c>
      <c r="R59">
        <f>SUM(R53:R58)</f>
        <v>63</v>
      </c>
      <c r="T59">
        <f>SUM(T53:T58)</f>
        <v>18.5</v>
      </c>
      <c r="U59">
        <f>SUM(U53:U58)</f>
        <v>186</v>
      </c>
      <c r="V59">
        <f>SUM(V53:V58)</f>
        <v>93</v>
      </c>
    </row>
    <row r="60" spans="1:22" x14ac:dyDescent="0.25">
      <c r="L60">
        <v>6</v>
      </c>
      <c r="M60">
        <v>5</v>
      </c>
      <c r="N60">
        <v>5</v>
      </c>
      <c r="P60">
        <v>6</v>
      </c>
      <c r="Q60">
        <v>5</v>
      </c>
      <c r="R60">
        <v>5</v>
      </c>
      <c r="T60">
        <v>6</v>
      </c>
      <c r="U60">
        <v>5</v>
      </c>
      <c r="V60">
        <v>5</v>
      </c>
    </row>
    <row r="61" spans="1:22" x14ac:dyDescent="0.25">
      <c r="L61">
        <v>0</v>
      </c>
      <c r="P61">
        <v>0</v>
      </c>
      <c r="T61">
        <v>0</v>
      </c>
    </row>
    <row r="62" spans="1:22" x14ac:dyDescent="0.25">
      <c r="L62">
        <f>L59*L60+L61</f>
        <v>111</v>
      </c>
      <c r="M62">
        <f>M59*M60+M61</f>
        <v>510</v>
      </c>
      <c r="N62">
        <f>N59*N60+N61</f>
        <v>255</v>
      </c>
      <c r="P62">
        <f>P59*P60+P61</f>
        <v>111</v>
      </c>
      <c r="Q62">
        <f>Q59*Q60+Q61</f>
        <v>630</v>
      </c>
      <c r="R62">
        <f>R59*R60+R61</f>
        <v>315</v>
      </c>
      <c r="T62">
        <f>T59*T60+T61</f>
        <v>111</v>
      </c>
      <c r="U62">
        <f>U59*U60+U61</f>
        <v>930</v>
      </c>
      <c r="V62">
        <f>V59*V60+V61</f>
        <v>465</v>
      </c>
    </row>
    <row r="63" spans="1:22" x14ac:dyDescent="0.25">
      <c r="M63">
        <f>M62*0.25</f>
        <v>127.5</v>
      </c>
      <c r="N63">
        <f>N62*0.25</f>
        <v>63.75</v>
      </c>
      <c r="Q63">
        <f>Q62*0.25</f>
        <v>157.5</v>
      </c>
      <c r="R63">
        <f>R62*0.25</f>
        <v>78.75</v>
      </c>
      <c r="U63">
        <f>U62*0.25</f>
        <v>232.5</v>
      </c>
      <c r="V63">
        <f>V62*0.25</f>
        <v>116.25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Y184"/>
  <sheetViews>
    <sheetView workbookViewId="0">
      <selection activeCell="L196" sqref="L196"/>
    </sheetView>
  </sheetViews>
  <sheetFormatPr defaultRowHeight="15" x14ac:dyDescent="0.25"/>
  <cols>
    <col min="4" max="4" width="11.5703125" customWidth="1"/>
    <col min="6" max="6" width="11.28515625" customWidth="1"/>
    <col min="7" max="7" width="11" customWidth="1"/>
    <col min="8" max="8" width="11.140625" customWidth="1"/>
    <col min="9" max="9" width="11.28515625" customWidth="1"/>
  </cols>
  <sheetData>
    <row r="1" spans="5:25" x14ac:dyDescent="0.25">
      <c r="M1">
        <v>80</v>
      </c>
      <c r="N1">
        <v>248</v>
      </c>
      <c r="O1">
        <v>248</v>
      </c>
    </row>
    <row r="2" spans="5:25" x14ac:dyDescent="0.25">
      <c r="M2">
        <v>80</v>
      </c>
      <c r="N2">
        <v>248</v>
      </c>
      <c r="O2">
        <v>248</v>
      </c>
    </row>
    <row r="3" spans="5:25" x14ac:dyDescent="0.25">
      <c r="M3">
        <v>72</v>
      </c>
      <c r="N3">
        <v>136</v>
      </c>
      <c r="O3">
        <v>136</v>
      </c>
    </row>
    <row r="5" spans="5:25" x14ac:dyDescent="0.25">
      <c r="G5">
        <v>4</v>
      </c>
      <c r="H5">
        <f>3.5+2+3+8+9</f>
        <v>25.5</v>
      </c>
      <c r="I5">
        <f>G5*H5</f>
        <v>102</v>
      </c>
      <c r="M5">
        <v>24</v>
      </c>
      <c r="N5">
        <v>136</v>
      </c>
      <c r="O5">
        <v>184</v>
      </c>
      <c r="S5">
        <f>0.88</f>
        <v>0.88</v>
      </c>
      <c r="T5">
        <v>0.9</v>
      </c>
      <c r="U5">
        <v>0.85</v>
      </c>
      <c r="V5">
        <v>0.6</v>
      </c>
      <c r="W5">
        <v>0.75</v>
      </c>
    </row>
    <row r="6" spans="5:25" x14ac:dyDescent="0.25">
      <c r="G6">
        <v>1</v>
      </c>
      <c r="H6">
        <f>3.5+3+3+3+9</f>
        <v>21.5</v>
      </c>
      <c r="I6">
        <f>G6*H6</f>
        <v>21.5</v>
      </c>
      <c r="M6">
        <v>176</v>
      </c>
      <c r="N6">
        <v>136</v>
      </c>
      <c r="O6">
        <v>0</v>
      </c>
      <c r="S6">
        <f>6</f>
        <v>6</v>
      </c>
      <c r="T6">
        <f>6</f>
        <v>6</v>
      </c>
      <c r="U6">
        <f>6</f>
        <v>6</v>
      </c>
      <c r="V6">
        <f>6</f>
        <v>6</v>
      </c>
      <c r="W6">
        <f>6</f>
        <v>6</v>
      </c>
    </row>
    <row r="7" spans="5:25" x14ac:dyDescent="0.25">
      <c r="I7">
        <f>SUM(I5:I6)</f>
        <v>123.5</v>
      </c>
      <c r="M7">
        <v>104</v>
      </c>
      <c r="N7">
        <v>136</v>
      </c>
      <c r="O7">
        <v>40</v>
      </c>
      <c r="S7">
        <f>S5^S6</f>
        <v>0.46440408678399997</v>
      </c>
      <c r="T7">
        <f>T5^T6</f>
        <v>0.53144100000000016</v>
      </c>
      <c r="U7">
        <f>U5^U6</f>
        <v>0.37714951562499988</v>
      </c>
      <c r="V7">
        <f>V5^V6</f>
        <v>4.6655999999999996E-2</v>
      </c>
      <c r="W7">
        <f>W5^W6</f>
        <v>0.177978515625</v>
      </c>
    </row>
    <row r="8" spans="5:25" x14ac:dyDescent="0.25">
      <c r="I8">
        <f>I7*2</f>
        <v>247</v>
      </c>
    </row>
    <row r="9" spans="5:25" x14ac:dyDescent="0.25">
      <c r="M9">
        <v>0</v>
      </c>
      <c r="N9">
        <v>24</v>
      </c>
      <c r="O9">
        <v>64</v>
      </c>
    </row>
    <row r="10" spans="5:25" x14ac:dyDescent="0.25">
      <c r="M10">
        <v>72</v>
      </c>
      <c r="N10">
        <v>24</v>
      </c>
      <c r="O10">
        <v>0</v>
      </c>
      <c r="U10">
        <f>7*4+4*6</f>
        <v>52</v>
      </c>
    </row>
    <row r="11" spans="5:25" x14ac:dyDescent="0.25">
      <c r="G11">
        <v>5</v>
      </c>
      <c r="H11">
        <f>3.5+3+10+9+3</f>
        <v>28.5</v>
      </c>
      <c r="I11">
        <f>G11*H11</f>
        <v>142.5</v>
      </c>
      <c r="J11">
        <v>2</v>
      </c>
      <c r="K11">
        <f>22+12</f>
        <v>34</v>
      </c>
      <c r="L11">
        <f>J11*K11</f>
        <v>68</v>
      </c>
      <c r="M11">
        <v>56</v>
      </c>
      <c r="N11">
        <v>24</v>
      </c>
      <c r="O11">
        <v>32</v>
      </c>
    </row>
    <row r="12" spans="5:25" x14ac:dyDescent="0.25">
      <c r="I12">
        <f>I11*2</f>
        <v>285</v>
      </c>
      <c r="J12">
        <v>1</v>
      </c>
      <c r="K12">
        <f>4.5+2+2+12</f>
        <v>20.5</v>
      </c>
      <c r="L12">
        <f>J12*K12</f>
        <v>20.5</v>
      </c>
      <c r="X12">
        <f>3.5*3+3</f>
        <v>13.5</v>
      </c>
    </row>
    <row r="13" spans="5:25" x14ac:dyDescent="0.25">
      <c r="L13">
        <f>SUM(L11:L12)</f>
        <v>88.5</v>
      </c>
      <c r="N13">
        <v>80</v>
      </c>
      <c r="O13">
        <v>80</v>
      </c>
      <c r="P13">
        <v>104</v>
      </c>
      <c r="S13">
        <f>12*6</f>
        <v>72</v>
      </c>
      <c r="X13">
        <f>X12*6</f>
        <v>81</v>
      </c>
    </row>
    <row r="14" spans="5:25" x14ac:dyDescent="0.25">
      <c r="E14" t="s">
        <v>525</v>
      </c>
      <c r="L14">
        <f>L13*2</f>
        <v>177</v>
      </c>
      <c r="N14">
        <v>80</v>
      </c>
      <c r="O14">
        <v>80</v>
      </c>
      <c r="P14">
        <v>128</v>
      </c>
      <c r="S14">
        <f>5.5*6</f>
        <v>33</v>
      </c>
      <c r="U14">
        <f>10*3.5*6</f>
        <v>210</v>
      </c>
      <c r="X14">
        <f>X13*2</f>
        <v>162</v>
      </c>
    </row>
    <row r="15" spans="5:25" x14ac:dyDescent="0.25">
      <c r="E15" t="s">
        <v>526</v>
      </c>
      <c r="N15">
        <v>72</v>
      </c>
      <c r="O15">
        <v>72</v>
      </c>
      <c r="P15">
        <v>232</v>
      </c>
    </row>
    <row r="16" spans="5:25" x14ac:dyDescent="0.25">
      <c r="E16">
        <v>66</v>
      </c>
      <c r="F16">
        <v>67</v>
      </c>
      <c r="G16">
        <v>3</v>
      </c>
      <c r="H16">
        <f>40+14+2</f>
        <v>56</v>
      </c>
      <c r="I16">
        <f>G16*H16</f>
        <v>168</v>
      </c>
      <c r="J16">
        <v>3.5</v>
      </c>
      <c r="K16">
        <f>5.5+3+3+10</f>
        <v>21.5</v>
      </c>
      <c r="L16">
        <f>J16*K16</f>
        <v>75.25</v>
      </c>
      <c r="W16">
        <f>2*8</f>
        <v>16</v>
      </c>
      <c r="Y16">
        <f>5.5*6</f>
        <v>33</v>
      </c>
    </row>
    <row r="17" spans="5:24" x14ac:dyDescent="0.25">
      <c r="E17">
        <v>70</v>
      </c>
      <c r="F17">
        <v>68</v>
      </c>
      <c r="G17">
        <v>1</v>
      </c>
      <c r="H17">
        <f>5+2+14+2</f>
        <v>23</v>
      </c>
      <c r="I17">
        <f>G17*H17</f>
        <v>23</v>
      </c>
      <c r="J17">
        <v>1</v>
      </c>
      <c r="K17">
        <f>4.5+2+3+10</f>
        <v>19.5</v>
      </c>
      <c r="L17">
        <f>J17*K17</f>
        <v>19.5</v>
      </c>
      <c r="N17">
        <v>48</v>
      </c>
      <c r="O17">
        <v>200</v>
      </c>
      <c r="P17">
        <v>40</v>
      </c>
      <c r="U17">
        <f>18*14</f>
        <v>252</v>
      </c>
      <c r="V17">
        <f>14*3</f>
        <v>42</v>
      </c>
      <c r="W17">
        <f>W16*6</f>
        <v>96</v>
      </c>
    </row>
    <row r="18" spans="5:24" x14ac:dyDescent="0.25">
      <c r="E18" t="s">
        <v>527</v>
      </c>
      <c r="F18">
        <v>69</v>
      </c>
      <c r="I18">
        <f>SUM(I16:I17)</f>
        <v>191</v>
      </c>
      <c r="L18">
        <f>SUM(L16:L17)</f>
        <v>94.75</v>
      </c>
      <c r="N18">
        <v>48</v>
      </c>
      <c r="O18">
        <v>112</v>
      </c>
      <c r="P18">
        <v>80</v>
      </c>
      <c r="R18">
        <f>3.5*5*6*2</f>
        <v>210</v>
      </c>
      <c r="U18">
        <f>4.5*8*7</f>
        <v>252</v>
      </c>
    </row>
    <row r="19" spans="5:24" x14ac:dyDescent="0.25">
      <c r="E19" t="s">
        <v>528</v>
      </c>
      <c r="F19">
        <v>71</v>
      </c>
      <c r="I19">
        <f>I18*2</f>
        <v>382</v>
      </c>
      <c r="L19">
        <f>L18*2</f>
        <v>189.5</v>
      </c>
      <c r="N19">
        <v>32</v>
      </c>
      <c r="O19">
        <v>32</v>
      </c>
      <c r="P19">
        <v>248</v>
      </c>
    </row>
    <row r="20" spans="5:24" x14ac:dyDescent="0.25">
      <c r="E20" t="s">
        <v>529</v>
      </c>
      <c r="F20">
        <v>72</v>
      </c>
      <c r="W20">
        <v>-14</v>
      </c>
      <c r="X20">
        <v>-14</v>
      </c>
    </row>
    <row r="21" spans="5:24" x14ac:dyDescent="0.25">
      <c r="E21" t="s">
        <v>530</v>
      </c>
      <c r="F21">
        <v>73</v>
      </c>
      <c r="J21">
        <v>1</v>
      </c>
      <c r="K21">
        <f>22+12</f>
        <v>34</v>
      </c>
      <c r="L21">
        <f>J21*K21</f>
        <v>34</v>
      </c>
      <c r="N21">
        <v>136</v>
      </c>
      <c r="O21">
        <v>112</v>
      </c>
      <c r="P21">
        <v>32</v>
      </c>
      <c r="S21">
        <f>54*3+22</f>
        <v>184</v>
      </c>
      <c r="U21">
        <f>20-8</f>
        <v>12</v>
      </c>
      <c r="W21">
        <v>-24</v>
      </c>
      <c r="X21">
        <f>W21-6</f>
        <v>-30</v>
      </c>
    </row>
    <row r="22" spans="5:24" x14ac:dyDescent="0.25">
      <c r="E22" t="s">
        <v>531</v>
      </c>
      <c r="F22" t="s">
        <v>537</v>
      </c>
      <c r="J22">
        <v>1</v>
      </c>
      <c r="K22">
        <f>4.5+2+2+12</f>
        <v>20.5</v>
      </c>
      <c r="L22">
        <f>J22*K22</f>
        <v>20.5</v>
      </c>
      <c r="N22">
        <v>136</v>
      </c>
      <c r="O22">
        <v>48</v>
      </c>
      <c r="P22">
        <v>40</v>
      </c>
      <c r="S22">
        <f>54*5+22</f>
        <v>292</v>
      </c>
      <c r="U22">
        <f>12/20</f>
        <v>0.6</v>
      </c>
      <c r="W22">
        <f>W21-W20</f>
        <v>-10</v>
      </c>
      <c r="X22">
        <f>X21-X20</f>
        <v>-16</v>
      </c>
    </row>
    <row r="23" spans="5:24" x14ac:dyDescent="0.25">
      <c r="E23" t="s">
        <v>532</v>
      </c>
      <c r="F23" t="s">
        <v>538</v>
      </c>
      <c r="L23">
        <f>SUM(L21:L22)</f>
        <v>54.5</v>
      </c>
      <c r="N23">
        <v>120</v>
      </c>
      <c r="O23">
        <v>32</v>
      </c>
      <c r="P23">
        <v>120</v>
      </c>
      <c r="S23">
        <f>56*3</f>
        <v>168</v>
      </c>
    </row>
    <row r="24" spans="5:24" x14ac:dyDescent="0.25">
      <c r="E24" t="s">
        <v>533</v>
      </c>
      <c r="F24" t="s">
        <v>539</v>
      </c>
      <c r="L24">
        <f>L23*2</f>
        <v>109</v>
      </c>
    </row>
    <row r="25" spans="5:24" x14ac:dyDescent="0.25">
      <c r="E25" t="s">
        <v>534</v>
      </c>
      <c r="F25" t="s">
        <v>540</v>
      </c>
    </row>
    <row r="26" spans="5:24" x14ac:dyDescent="0.25">
      <c r="E26" t="s">
        <v>535</v>
      </c>
      <c r="F26" t="s">
        <v>541</v>
      </c>
      <c r="G26">
        <v>3</v>
      </c>
      <c r="H26">
        <f>3.5+2+8+7</f>
        <v>20.5</v>
      </c>
      <c r="I26">
        <f>G26*H26</f>
        <v>61.5</v>
      </c>
      <c r="J26">
        <v>3</v>
      </c>
      <c r="K26">
        <f>(3.5+4+1)*5+7</f>
        <v>49.5</v>
      </c>
    </row>
    <row r="27" spans="5:24" x14ac:dyDescent="0.25">
      <c r="E27" t="s">
        <v>536</v>
      </c>
      <c r="F27" t="s">
        <v>542</v>
      </c>
      <c r="G27">
        <v>0</v>
      </c>
      <c r="H27">
        <f>5+2+14+2</f>
        <v>23</v>
      </c>
      <c r="I27">
        <f>G27*H27</f>
        <v>0</v>
      </c>
    </row>
    <row r="28" spans="5:24" x14ac:dyDescent="0.25">
      <c r="F28" t="s">
        <v>543</v>
      </c>
      <c r="I28">
        <f>SUM(I26:I27)</f>
        <v>61.5</v>
      </c>
    </row>
    <row r="29" spans="5:24" x14ac:dyDescent="0.25">
      <c r="F29" t="s">
        <v>544</v>
      </c>
      <c r="I29">
        <f>I28*2</f>
        <v>123</v>
      </c>
    </row>
    <row r="30" spans="5:24" x14ac:dyDescent="0.25">
      <c r="F30" t="s">
        <v>545</v>
      </c>
    </row>
    <row r="31" spans="5:24" x14ac:dyDescent="0.25">
      <c r="F31" t="s">
        <v>546</v>
      </c>
      <c r="G31">
        <v>3</v>
      </c>
      <c r="H31">
        <f>8+1+12</f>
        <v>21</v>
      </c>
      <c r="I31">
        <f>G31*H31</f>
        <v>63</v>
      </c>
    </row>
    <row r="32" spans="5:24" x14ac:dyDescent="0.25">
      <c r="F32" t="s">
        <v>547</v>
      </c>
      <c r="G32">
        <v>0</v>
      </c>
      <c r="H32">
        <f>4.5+2+9+1</f>
        <v>16.5</v>
      </c>
      <c r="I32">
        <f>G32*H32</f>
        <v>0</v>
      </c>
    </row>
    <row r="33" spans="2:16" x14ac:dyDescent="0.25">
      <c r="I33">
        <f>SUM(I31:I32)</f>
        <v>63</v>
      </c>
      <c r="K33">
        <f>5.5*5+9</f>
        <v>36.5</v>
      </c>
    </row>
    <row r="34" spans="2:16" x14ac:dyDescent="0.25">
      <c r="I34">
        <f>I33*2</f>
        <v>126</v>
      </c>
    </row>
    <row r="36" spans="2:16" x14ac:dyDescent="0.25">
      <c r="G36">
        <v>4</v>
      </c>
      <c r="H36">
        <f>8+1+14</f>
        <v>23</v>
      </c>
      <c r="I36">
        <f>G36*H36</f>
        <v>92</v>
      </c>
    </row>
    <row r="37" spans="2:16" x14ac:dyDescent="0.25">
      <c r="G37">
        <v>1</v>
      </c>
      <c r="H37">
        <f>8+2+1+14</f>
        <v>25</v>
      </c>
      <c r="I37">
        <f>G37*H37</f>
        <v>25</v>
      </c>
    </row>
    <row r="38" spans="2:16" x14ac:dyDescent="0.25">
      <c r="I38">
        <f>SUM(I36:I37)</f>
        <v>117</v>
      </c>
    </row>
    <row r="39" spans="2:16" x14ac:dyDescent="0.25">
      <c r="I39">
        <f>I38*2</f>
        <v>234</v>
      </c>
    </row>
    <row r="42" spans="2:16" x14ac:dyDescent="0.25">
      <c r="B42" t="s">
        <v>548</v>
      </c>
      <c r="E42" t="s">
        <v>553</v>
      </c>
    </row>
    <row r="43" spans="2:16" x14ac:dyDescent="0.25">
      <c r="B43" t="s">
        <v>549</v>
      </c>
      <c r="E43" t="s">
        <v>554</v>
      </c>
    </row>
    <row r="44" spans="2:16" x14ac:dyDescent="0.25">
      <c r="B44" t="s">
        <v>550</v>
      </c>
      <c r="E44" t="s">
        <v>556</v>
      </c>
    </row>
    <row r="45" spans="2:16" x14ac:dyDescent="0.25">
      <c r="B45" t="s">
        <v>551</v>
      </c>
      <c r="E45" t="s">
        <v>557</v>
      </c>
    </row>
    <row r="46" spans="2:16" x14ac:dyDescent="0.25">
      <c r="B46" t="s">
        <v>552</v>
      </c>
      <c r="E46" t="s">
        <v>555</v>
      </c>
      <c r="P46">
        <f>200</f>
        <v>200</v>
      </c>
    </row>
    <row r="47" spans="2:16" x14ac:dyDescent="0.25">
      <c r="B47" t="s">
        <v>552</v>
      </c>
      <c r="E47" t="s">
        <v>555</v>
      </c>
      <c r="M47">
        <f>16*4.5</f>
        <v>72</v>
      </c>
      <c r="P47">
        <f>P46/0.75</f>
        <v>266.66666666666669</v>
      </c>
    </row>
    <row r="49" spans="1:14" x14ac:dyDescent="0.25">
      <c r="A49" t="s">
        <v>553</v>
      </c>
      <c r="M49">
        <f>2.5+1</f>
        <v>3.5</v>
      </c>
    </row>
    <row r="50" spans="1:14" x14ac:dyDescent="0.25">
      <c r="A50" t="s">
        <v>558</v>
      </c>
      <c r="C50" t="s">
        <v>560</v>
      </c>
      <c r="E50" t="s">
        <v>563</v>
      </c>
      <c r="H50" t="s">
        <v>565</v>
      </c>
      <c r="M50">
        <f>M49*5</f>
        <v>17.5</v>
      </c>
      <c r="N50">
        <f>M50*4</f>
        <v>70</v>
      </c>
    </row>
    <row r="51" spans="1:14" x14ac:dyDescent="0.25">
      <c r="A51" t="s">
        <v>559</v>
      </c>
      <c r="C51" t="s">
        <v>562</v>
      </c>
      <c r="E51" t="s">
        <v>561</v>
      </c>
      <c r="H51" t="s">
        <v>564</v>
      </c>
    </row>
    <row r="52" spans="1:14" x14ac:dyDescent="0.25">
      <c r="A52">
        <f>3.5+3+1+4</f>
        <v>11.5</v>
      </c>
      <c r="C52">
        <f>3.5+3+1+2+4</f>
        <v>13.5</v>
      </c>
      <c r="E52">
        <f>3.5+3+3+2+1+8</f>
        <v>20.5</v>
      </c>
      <c r="H52">
        <f>40+2+14+8</f>
        <v>64</v>
      </c>
      <c r="K52">
        <f>40+2+14</f>
        <v>56</v>
      </c>
      <c r="N52">
        <f>22+12</f>
        <v>34</v>
      </c>
    </row>
    <row r="53" spans="1:14" x14ac:dyDescent="0.25">
      <c r="A53">
        <v>4</v>
      </c>
      <c r="C53">
        <v>6</v>
      </c>
      <c r="E53">
        <v>6</v>
      </c>
      <c r="H53">
        <v>3</v>
      </c>
      <c r="K53">
        <v>3</v>
      </c>
      <c r="N53">
        <v>2</v>
      </c>
    </row>
    <row r="54" spans="1:14" x14ac:dyDescent="0.25">
      <c r="A54">
        <v>0</v>
      </c>
      <c r="C54">
        <v>0</v>
      </c>
      <c r="E54">
        <v>0</v>
      </c>
      <c r="H54">
        <f>8+2+14+2+8</f>
        <v>34</v>
      </c>
      <c r="K54">
        <f>8+2+14+2</f>
        <v>26</v>
      </c>
      <c r="N54">
        <f>4.5+12+2</f>
        <v>18.5</v>
      </c>
    </row>
    <row r="55" spans="1:14" x14ac:dyDescent="0.25">
      <c r="A55">
        <v>0</v>
      </c>
      <c r="C55">
        <v>0</v>
      </c>
      <c r="E55">
        <v>0</v>
      </c>
      <c r="H55">
        <v>1</v>
      </c>
      <c r="K55">
        <v>1</v>
      </c>
      <c r="N55">
        <v>1</v>
      </c>
    </row>
    <row r="56" spans="1:14" x14ac:dyDescent="0.25">
      <c r="A56">
        <f>A52*A53+A54*A55</f>
        <v>46</v>
      </c>
      <c r="C56">
        <f>C52*C53+C54*C55</f>
        <v>81</v>
      </c>
      <c r="E56">
        <f>E52*E53+E54*E55</f>
        <v>123</v>
      </c>
      <c r="H56">
        <f>H52*H53+H54*H55</f>
        <v>226</v>
      </c>
      <c r="K56">
        <f>K52*K53+K54*K55</f>
        <v>194</v>
      </c>
      <c r="N56">
        <f>N52*N53+N54*N55</f>
        <v>86.5</v>
      </c>
    </row>
    <row r="58" spans="1:14" x14ac:dyDescent="0.25">
      <c r="A58" t="s">
        <v>554</v>
      </c>
      <c r="L58" t="s">
        <v>652</v>
      </c>
    </row>
    <row r="59" spans="1:14" x14ac:dyDescent="0.25">
      <c r="A59" t="s">
        <v>558</v>
      </c>
      <c r="C59" t="s">
        <v>560</v>
      </c>
      <c r="E59" t="s">
        <v>563</v>
      </c>
      <c r="H59" t="s">
        <v>565</v>
      </c>
    </row>
    <row r="60" spans="1:14" x14ac:dyDescent="0.25">
      <c r="A60" t="s">
        <v>566</v>
      </c>
      <c r="C60" t="s">
        <v>567</v>
      </c>
      <c r="E60" t="s">
        <v>568</v>
      </c>
      <c r="H60" t="s">
        <v>568</v>
      </c>
      <c r="L60" t="s">
        <v>651</v>
      </c>
    </row>
    <row r="61" spans="1:14" x14ac:dyDescent="0.25">
      <c r="A61">
        <f>4.5+2+7+4</f>
        <v>17.5</v>
      </c>
      <c r="C61">
        <f>4.5+2+9+4</f>
        <v>19.5</v>
      </c>
      <c r="E61">
        <f>3.5+3+10+9+8</f>
        <v>33.5</v>
      </c>
      <c r="H61">
        <f>3.5+3+10+9+8</f>
        <v>33.5</v>
      </c>
      <c r="L61" t="s">
        <v>650</v>
      </c>
    </row>
    <row r="62" spans="1:14" x14ac:dyDescent="0.25">
      <c r="A62">
        <v>3</v>
      </c>
      <c r="C62">
        <v>4</v>
      </c>
      <c r="E62">
        <v>3</v>
      </c>
      <c r="H62">
        <v>3</v>
      </c>
      <c r="L62" t="s">
        <v>649</v>
      </c>
    </row>
    <row r="63" spans="1:14" x14ac:dyDescent="0.25">
      <c r="A63">
        <v>0</v>
      </c>
      <c r="C63">
        <v>0</v>
      </c>
      <c r="E63">
        <v>0</v>
      </c>
      <c r="H63">
        <v>0</v>
      </c>
      <c r="L63" t="s">
        <v>653</v>
      </c>
    </row>
    <row r="64" spans="1:14" x14ac:dyDescent="0.25">
      <c r="A64">
        <v>0</v>
      </c>
      <c r="C64">
        <v>0</v>
      </c>
      <c r="E64">
        <v>0</v>
      </c>
      <c r="H64">
        <v>0</v>
      </c>
      <c r="L64" t="s">
        <v>648</v>
      </c>
    </row>
    <row r="65" spans="1:12" x14ac:dyDescent="0.25">
      <c r="A65">
        <f>A61*A62+A63*A64</f>
        <v>52.5</v>
      </c>
      <c r="C65">
        <f>C61*C62+C63*C64</f>
        <v>78</v>
      </c>
      <c r="E65">
        <f>E61*E62+E63*E64</f>
        <v>100.5</v>
      </c>
      <c r="H65">
        <f>H61*H62+H63*H64</f>
        <v>100.5</v>
      </c>
    </row>
    <row r="66" spans="1:12" x14ac:dyDescent="0.25">
      <c r="L66" t="s">
        <v>654</v>
      </c>
    </row>
    <row r="67" spans="1:12" x14ac:dyDescent="0.25">
      <c r="A67" t="s">
        <v>556</v>
      </c>
    </row>
    <row r="68" spans="1:12" x14ac:dyDescent="0.25">
      <c r="A68" t="s">
        <v>558</v>
      </c>
      <c r="C68" t="s">
        <v>560</v>
      </c>
      <c r="E68" t="s">
        <v>563</v>
      </c>
      <c r="H68" t="s">
        <v>565</v>
      </c>
      <c r="L68" t="s">
        <v>655</v>
      </c>
    </row>
    <row r="69" spans="1:12" x14ac:dyDescent="0.25">
      <c r="A69" t="s">
        <v>570</v>
      </c>
      <c r="C69" t="s">
        <v>569</v>
      </c>
      <c r="E69" t="s">
        <v>570</v>
      </c>
      <c r="H69" t="s">
        <v>571</v>
      </c>
      <c r="L69" t="s">
        <v>656</v>
      </c>
    </row>
    <row r="70" spans="1:12" x14ac:dyDescent="0.25">
      <c r="A70">
        <f>8+12+4+1</f>
        <v>25</v>
      </c>
      <c r="C70">
        <f>4.5+9+4+1</f>
        <v>18.5</v>
      </c>
      <c r="E70">
        <f>8+12+8+1</f>
        <v>29</v>
      </c>
      <c r="H70">
        <f>8+12+8+1</f>
        <v>29</v>
      </c>
      <c r="L70" t="s">
        <v>657</v>
      </c>
    </row>
    <row r="71" spans="1:12" x14ac:dyDescent="0.25">
      <c r="A71">
        <v>3</v>
      </c>
      <c r="C71">
        <v>3</v>
      </c>
      <c r="E71">
        <v>3</v>
      </c>
      <c r="H71">
        <v>4</v>
      </c>
    </row>
    <row r="72" spans="1:12" x14ac:dyDescent="0.25">
      <c r="A72">
        <v>0</v>
      </c>
      <c r="C72">
        <v>0</v>
      </c>
      <c r="E72">
        <v>0</v>
      </c>
      <c r="H72">
        <f>8+2+1+14+8</f>
        <v>33</v>
      </c>
      <c r="L72">
        <f>4.5+4</f>
        <v>8.5</v>
      </c>
    </row>
    <row r="73" spans="1:12" x14ac:dyDescent="0.25">
      <c r="A73">
        <v>0</v>
      </c>
      <c r="C73">
        <v>0</v>
      </c>
      <c r="E73">
        <v>0</v>
      </c>
      <c r="H73">
        <v>1</v>
      </c>
      <c r="L73">
        <f>L72*8</f>
        <v>68</v>
      </c>
    </row>
    <row r="74" spans="1:12" x14ac:dyDescent="0.25">
      <c r="A74">
        <f>A70*A71+A72*A73</f>
        <v>75</v>
      </c>
      <c r="C74">
        <f>C70*C71+C72*C73</f>
        <v>55.5</v>
      </c>
      <c r="E74">
        <f>E70*E71+E72*E73</f>
        <v>87</v>
      </c>
      <c r="H74">
        <f>H70*H71+H72*H73</f>
        <v>149</v>
      </c>
      <c r="L74">
        <f>L73*3</f>
        <v>204</v>
      </c>
    </row>
    <row r="76" spans="1:12" x14ac:dyDescent="0.25">
      <c r="A76" t="s">
        <v>557</v>
      </c>
    </row>
    <row r="77" spans="1:12" x14ac:dyDescent="0.25">
      <c r="A77" t="s">
        <v>558</v>
      </c>
      <c r="C77" t="s">
        <v>560</v>
      </c>
      <c r="E77" t="s">
        <v>563</v>
      </c>
      <c r="H77" t="s">
        <v>565</v>
      </c>
    </row>
    <row r="78" spans="1:12" x14ac:dyDescent="0.25">
      <c r="A78" t="s">
        <v>559</v>
      </c>
      <c r="C78" t="s">
        <v>559</v>
      </c>
      <c r="E78" t="s">
        <v>572</v>
      </c>
      <c r="H78" t="s">
        <v>572</v>
      </c>
    </row>
    <row r="79" spans="1:12" x14ac:dyDescent="0.25">
      <c r="A79">
        <f>3.5+3+1+4</f>
        <v>11.5</v>
      </c>
      <c r="C79">
        <f>3.5+3+1+4</f>
        <v>11.5</v>
      </c>
      <c r="E79">
        <f>6+4+12+8+1</f>
        <v>31</v>
      </c>
      <c r="H79">
        <f>6+4+14+8+1</f>
        <v>33</v>
      </c>
    </row>
    <row r="80" spans="1:12" x14ac:dyDescent="0.25">
      <c r="A80">
        <v>4</v>
      </c>
      <c r="C80">
        <v>4</v>
      </c>
      <c r="E80">
        <v>4</v>
      </c>
      <c r="H80">
        <v>4</v>
      </c>
    </row>
    <row r="81" spans="1:8" x14ac:dyDescent="0.25">
      <c r="A81">
        <v>0</v>
      </c>
      <c r="C81">
        <v>0</v>
      </c>
      <c r="E81">
        <v>0</v>
      </c>
      <c r="H81">
        <v>0</v>
      </c>
    </row>
    <row r="82" spans="1:8" x14ac:dyDescent="0.25">
      <c r="A82">
        <v>0</v>
      </c>
      <c r="C82">
        <v>0</v>
      </c>
      <c r="E82">
        <v>0</v>
      </c>
      <c r="H82">
        <v>0</v>
      </c>
    </row>
    <row r="83" spans="1:8" x14ac:dyDescent="0.25">
      <c r="A83">
        <f>A79*A80+A81*A82</f>
        <v>46</v>
      </c>
      <c r="C83">
        <f>C79*C80+C81*C82</f>
        <v>46</v>
      </c>
      <c r="E83">
        <f>E79*E80+E81*E82</f>
        <v>124</v>
      </c>
      <c r="H83">
        <f>H79*H80+H81*H82</f>
        <v>132</v>
      </c>
    </row>
    <row r="85" spans="1:8" x14ac:dyDescent="0.25">
      <c r="A85" t="s">
        <v>555</v>
      </c>
    </row>
    <row r="86" spans="1:8" x14ac:dyDescent="0.25">
      <c r="A86" t="s">
        <v>558</v>
      </c>
      <c r="C86" t="s">
        <v>560</v>
      </c>
      <c r="E86" t="s">
        <v>563</v>
      </c>
      <c r="H86" t="s">
        <v>565</v>
      </c>
    </row>
    <row r="87" spans="1:8" x14ac:dyDescent="0.25">
      <c r="A87" t="s">
        <v>573</v>
      </c>
      <c r="C87" t="s">
        <v>573</v>
      </c>
      <c r="E87" t="s">
        <v>573</v>
      </c>
      <c r="H87" t="s">
        <v>573</v>
      </c>
    </row>
    <row r="88" spans="1:8" x14ac:dyDescent="0.25">
      <c r="A88">
        <f>4.5+1</f>
        <v>5.5</v>
      </c>
      <c r="C88">
        <f>4.5+1</f>
        <v>5.5</v>
      </c>
      <c r="E88">
        <f>4.5+1</f>
        <v>5.5</v>
      </c>
      <c r="H88">
        <f>4.5+1</f>
        <v>5.5</v>
      </c>
    </row>
    <row r="89" spans="1:8" x14ac:dyDescent="0.25">
      <c r="A89">
        <v>5</v>
      </c>
      <c r="C89">
        <v>5</v>
      </c>
      <c r="E89">
        <v>5</v>
      </c>
      <c r="H89">
        <v>5</v>
      </c>
    </row>
    <row r="90" spans="1:8" x14ac:dyDescent="0.25">
      <c r="A90">
        <v>0</v>
      </c>
      <c r="C90">
        <v>0</v>
      </c>
      <c r="E90">
        <v>0</v>
      </c>
      <c r="H90">
        <v>0</v>
      </c>
    </row>
    <row r="91" spans="1:8" x14ac:dyDescent="0.25">
      <c r="A91">
        <v>0</v>
      </c>
      <c r="C91">
        <v>0</v>
      </c>
      <c r="E91">
        <v>0</v>
      </c>
      <c r="H91">
        <v>0</v>
      </c>
    </row>
    <row r="92" spans="1:8" x14ac:dyDescent="0.25">
      <c r="A92">
        <f>A88*A89+A90*A91</f>
        <v>27.5</v>
      </c>
      <c r="C92">
        <f>C88*C89+C90*C91</f>
        <v>27.5</v>
      </c>
      <c r="E92">
        <f>E88*E89+E90*E91</f>
        <v>27.5</v>
      </c>
      <c r="H92">
        <f>H88*H89+H90*H91</f>
        <v>27.5</v>
      </c>
    </row>
    <row r="94" spans="1:8" x14ac:dyDescent="0.25">
      <c r="A94" t="s">
        <v>555</v>
      </c>
    </row>
    <row r="95" spans="1:8" x14ac:dyDescent="0.25">
      <c r="A95" t="s">
        <v>558</v>
      </c>
      <c r="C95" t="s">
        <v>560</v>
      </c>
      <c r="E95" t="s">
        <v>563</v>
      </c>
      <c r="H95" t="s">
        <v>565</v>
      </c>
    </row>
    <row r="96" spans="1:8" x14ac:dyDescent="0.25">
      <c r="A96" t="s">
        <v>574</v>
      </c>
      <c r="C96" t="s">
        <v>574</v>
      </c>
      <c r="E96" t="s">
        <v>574</v>
      </c>
      <c r="H96" t="s">
        <v>574</v>
      </c>
    </row>
    <row r="97" spans="1:17" x14ac:dyDescent="0.25">
      <c r="A97">
        <f>3.5+1</f>
        <v>4.5</v>
      </c>
      <c r="C97">
        <f>3.5+1</f>
        <v>4.5</v>
      </c>
      <c r="E97">
        <f>3.5+1</f>
        <v>4.5</v>
      </c>
      <c r="H97">
        <f>3.5+1</f>
        <v>4.5</v>
      </c>
    </row>
    <row r="98" spans="1:17" x14ac:dyDescent="0.25">
      <c r="A98">
        <v>6</v>
      </c>
      <c r="C98">
        <v>6</v>
      </c>
      <c r="E98">
        <v>6</v>
      </c>
      <c r="H98">
        <v>6</v>
      </c>
    </row>
    <row r="99" spans="1:17" x14ac:dyDescent="0.25">
      <c r="A99">
        <v>0</v>
      </c>
      <c r="C99">
        <v>0</v>
      </c>
      <c r="E99">
        <v>0</v>
      </c>
      <c r="H99">
        <v>0</v>
      </c>
    </row>
    <row r="100" spans="1:17" x14ac:dyDescent="0.25">
      <c r="A100">
        <v>0</v>
      </c>
      <c r="C100">
        <v>0</v>
      </c>
      <c r="E100">
        <v>0</v>
      </c>
      <c r="H100">
        <v>0</v>
      </c>
    </row>
    <row r="101" spans="1:17" x14ac:dyDescent="0.25">
      <c r="A101">
        <f>A97*A98+A99*A100</f>
        <v>27</v>
      </c>
      <c r="C101">
        <f>C97*C98+C99*C100</f>
        <v>27</v>
      </c>
      <c r="E101">
        <f>E97*E98+E99*E100</f>
        <v>27</v>
      </c>
      <c r="H101">
        <f>H97*H98+H99*H100</f>
        <v>27</v>
      </c>
    </row>
    <row r="106" spans="1:17" x14ac:dyDescent="0.25">
      <c r="B106" t="s">
        <v>575</v>
      </c>
    </row>
    <row r="107" spans="1:17" x14ac:dyDescent="0.25">
      <c r="Q107">
        <f>2+3+3+24</f>
        <v>32</v>
      </c>
    </row>
    <row r="108" spans="1:17" x14ac:dyDescent="0.25">
      <c r="B108" s="14">
        <v>150000</v>
      </c>
      <c r="C108" s="14">
        <v>300000</v>
      </c>
      <c r="D108" s="14">
        <v>500000</v>
      </c>
      <c r="E108" s="14">
        <v>750000</v>
      </c>
      <c r="F108" s="14">
        <v>1000000</v>
      </c>
      <c r="G108" s="14">
        <v>1500000</v>
      </c>
      <c r="H108" s="14">
        <v>2000000</v>
      </c>
      <c r="I108" s="14">
        <v>3000000</v>
      </c>
      <c r="Q108">
        <f>Q107*10</f>
        <v>320</v>
      </c>
    </row>
    <row r="109" spans="1:17" x14ac:dyDescent="0.25">
      <c r="A109" t="s">
        <v>577</v>
      </c>
      <c r="B109">
        <v>9</v>
      </c>
      <c r="C109">
        <v>10</v>
      </c>
      <c r="D109">
        <v>11</v>
      </c>
      <c r="E109">
        <v>12</v>
      </c>
      <c r="F109">
        <v>12</v>
      </c>
      <c r="G109">
        <v>14</v>
      </c>
      <c r="H109">
        <v>15</v>
      </c>
      <c r="I109">
        <v>18</v>
      </c>
    </row>
    <row r="110" spans="1:17" x14ac:dyDescent="0.25">
      <c r="A110" t="s">
        <v>576</v>
      </c>
      <c r="B110">
        <v>8</v>
      </c>
      <c r="C110">
        <v>9</v>
      </c>
      <c r="D110">
        <v>10</v>
      </c>
      <c r="E110">
        <v>11</v>
      </c>
      <c r="F110">
        <v>12</v>
      </c>
      <c r="G110">
        <v>14</v>
      </c>
      <c r="H110">
        <v>16</v>
      </c>
      <c r="I110">
        <v>20</v>
      </c>
    </row>
    <row r="111" spans="1:17" x14ac:dyDescent="0.25">
      <c r="A111" t="s">
        <v>581</v>
      </c>
      <c r="B111">
        <v>8</v>
      </c>
      <c r="C111">
        <v>9</v>
      </c>
      <c r="D111">
        <v>9</v>
      </c>
      <c r="E111">
        <v>10</v>
      </c>
      <c r="F111">
        <v>11</v>
      </c>
      <c r="G111">
        <v>13</v>
      </c>
      <c r="H111">
        <v>14</v>
      </c>
      <c r="I111">
        <v>18</v>
      </c>
    </row>
    <row r="112" spans="1:17" x14ac:dyDescent="0.25">
      <c r="A112" t="s">
        <v>582</v>
      </c>
      <c r="B112">
        <v>8</v>
      </c>
      <c r="C112">
        <v>9</v>
      </c>
      <c r="D112">
        <v>9</v>
      </c>
      <c r="E112">
        <v>10</v>
      </c>
      <c r="F112">
        <v>11</v>
      </c>
      <c r="G112">
        <v>13</v>
      </c>
      <c r="H112">
        <v>14</v>
      </c>
      <c r="I112">
        <v>18</v>
      </c>
    </row>
    <row r="113" spans="1:15" x14ac:dyDescent="0.25">
      <c r="A113" t="s">
        <v>159</v>
      </c>
      <c r="B113">
        <v>8</v>
      </c>
      <c r="C113">
        <v>9</v>
      </c>
      <c r="D113">
        <v>10</v>
      </c>
      <c r="E113">
        <v>11</v>
      </c>
      <c r="F113">
        <v>12</v>
      </c>
      <c r="G113">
        <v>14</v>
      </c>
      <c r="H113">
        <v>16</v>
      </c>
      <c r="I113" s="4">
        <v>21</v>
      </c>
      <c r="J113" t="s">
        <v>583</v>
      </c>
      <c r="M113">
        <f>5*3*3.5</f>
        <v>52.5</v>
      </c>
    </row>
    <row r="114" spans="1:15" x14ac:dyDescent="0.25">
      <c r="A114" t="s">
        <v>158</v>
      </c>
      <c r="B114">
        <v>10</v>
      </c>
      <c r="C114">
        <v>12</v>
      </c>
      <c r="D114">
        <v>12</v>
      </c>
      <c r="E114">
        <v>13</v>
      </c>
      <c r="F114">
        <v>13</v>
      </c>
      <c r="G114">
        <v>14</v>
      </c>
      <c r="H114">
        <v>14</v>
      </c>
      <c r="I114">
        <v>15</v>
      </c>
      <c r="N114">
        <f>9+3</f>
        <v>12</v>
      </c>
    </row>
    <row r="115" spans="1:15" x14ac:dyDescent="0.25">
      <c r="A115" t="s">
        <v>578</v>
      </c>
      <c r="B115">
        <v>10</v>
      </c>
      <c r="C115">
        <v>11</v>
      </c>
      <c r="D115">
        <v>12</v>
      </c>
      <c r="E115">
        <v>13</v>
      </c>
      <c r="F115">
        <v>14</v>
      </c>
      <c r="G115">
        <v>16</v>
      </c>
      <c r="H115">
        <v>19</v>
      </c>
      <c r="I115" s="4">
        <v>23</v>
      </c>
      <c r="J115" t="s">
        <v>584</v>
      </c>
      <c r="N115">
        <f>12*3*3</f>
        <v>108</v>
      </c>
    </row>
    <row r="116" spans="1:15" x14ac:dyDescent="0.25">
      <c r="A116" t="s">
        <v>579</v>
      </c>
      <c r="B116">
        <v>10</v>
      </c>
      <c r="C116">
        <v>11</v>
      </c>
      <c r="D116">
        <v>12</v>
      </c>
      <c r="E116">
        <v>13</v>
      </c>
      <c r="F116">
        <v>14</v>
      </c>
      <c r="G116">
        <v>16</v>
      </c>
      <c r="H116">
        <v>19</v>
      </c>
      <c r="I116" s="4">
        <v>23</v>
      </c>
      <c r="J116" t="s">
        <v>584</v>
      </c>
    </row>
    <row r="117" spans="1:15" x14ac:dyDescent="0.25">
      <c r="A117" t="s">
        <v>580</v>
      </c>
      <c r="B117">
        <v>8</v>
      </c>
      <c r="C117">
        <v>9</v>
      </c>
      <c r="D117">
        <v>10</v>
      </c>
      <c r="E117">
        <v>11</v>
      </c>
      <c r="F117">
        <v>12</v>
      </c>
      <c r="G117">
        <v>14</v>
      </c>
      <c r="H117">
        <v>16</v>
      </c>
      <c r="I117" s="4">
        <v>21</v>
      </c>
      <c r="J117" t="s">
        <v>583</v>
      </c>
    </row>
    <row r="119" spans="1:15" x14ac:dyDescent="0.25">
      <c r="A119" t="s">
        <v>553</v>
      </c>
      <c r="B119" t="s">
        <v>598</v>
      </c>
      <c r="C119" t="s">
        <v>597</v>
      </c>
      <c r="D119" s="6" t="s">
        <v>594</v>
      </c>
      <c r="E119" t="s">
        <v>586</v>
      </c>
      <c r="F119" t="s">
        <v>587</v>
      </c>
      <c r="G119" s="7" t="s">
        <v>588</v>
      </c>
      <c r="H119" t="s">
        <v>589</v>
      </c>
      <c r="I119" t="s">
        <v>590</v>
      </c>
      <c r="J119" t="s">
        <v>612</v>
      </c>
      <c r="M119">
        <f>(2.5+2+6+4)*5</f>
        <v>72.5</v>
      </c>
      <c r="N119">
        <f>(3.5+1+3+3+6+4)*5</f>
        <v>102.5</v>
      </c>
      <c r="O119" t="s">
        <v>658</v>
      </c>
    </row>
    <row r="120" spans="1:15" x14ac:dyDescent="0.25">
      <c r="A120" t="s">
        <v>554</v>
      </c>
      <c r="B120" t="s">
        <v>596</v>
      </c>
      <c r="C120" t="s">
        <v>595</v>
      </c>
      <c r="D120" t="s">
        <v>595</v>
      </c>
      <c r="E120" s="7" t="s">
        <v>591</v>
      </c>
      <c r="F120" t="s">
        <v>591</v>
      </c>
      <c r="G120" t="s">
        <v>592</v>
      </c>
      <c r="H120" t="s">
        <v>592</v>
      </c>
      <c r="I120" t="s">
        <v>593</v>
      </c>
      <c r="J120" t="s">
        <v>614</v>
      </c>
      <c r="M120">
        <f>(2.5+2+6+8)*10</f>
        <v>185</v>
      </c>
      <c r="N120">
        <f>(3.5+1+3+3+6+8)*10</f>
        <v>245</v>
      </c>
      <c r="O120" t="s">
        <v>727</v>
      </c>
    </row>
    <row r="121" spans="1:15" x14ac:dyDescent="0.25">
      <c r="A121" t="s">
        <v>556</v>
      </c>
      <c r="B121" t="s">
        <v>598</v>
      </c>
      <c r="C121" t="s">
        <v>597</v>
      </c>
      <c r="D121" s="6" t="s">
        <v>596</v>
      </c>
      <c r="E121" t="s">
        <v>600</v>
      </c>
      <c r="F121" s="7" t="s">
        <v>599</v>
      </c>
      <c r="G121" t="s">
        <v>589</v>
      </c>
      <c r="H121" t="s">
        <v>590</v>
      </c>
      <c r="I121" t="s">
        <v>601</v>
      </c>
      <c r="J121" t="s">
        <v>615</v>
      </c>
      <c r="M121">
        <f>(2.5+2+6+(4*2*6))*10</f>
        <v>585</v>
      </c>
      <c r="N121">
        <f>(3.5+1+3+3+6+(4*2*6))*10</f>
        <v>645</v>
      </c>
      <c r="O121" t="s">
        <v>728</v>
      </c>
    </row>
    <row r="122" spans="1:15" x14ac:dyDescent="0.25">
      <c r="A122" t="s">
        <v>557</v>
      </c>
      <c r="B122" t="s">
        <v>597</v>
      </c>
      <c r="C122" s="6" t="s">
        <v>585</v>
      </c>
      <c r="D122" s="14" t="s">
        <v>602</v>
      </c>
      <c r="E122" s="14" t="s">
        <v>603</v>
      </c>
      <c r="F122" s="15" t="s">
        <v>604</v>
      </c>
      <c r="G122" s="14" t="s">
        <v>605</v>
      </c>
      <c r="H122" s="14" t="s">
        <v>606</v>
      </c>
      <c r="I122" s="14" t="s">
        <v>607</v>
      </c>
      <c r="J122" s="14" t="s">
        <v>616</v>
      </c>
    </row>
    <row r="123" spans="1:15" x14ac:dyDescent="0.25">
      <c r="A123" t="s">
        <v>555</v>
      </c>
      <c r="B123" t="s">
        <v>596</v>
      </c>
      <c r="C123" t="s">
        <v>608</v>
      </c>
      <c r="D123" t="s">
        <v>595</v>
      </c>
      <c r="E123" t="s">
        <v>591</v>
      </c>
      <c r="F123" s="7" t="s">
        <v>592</v>
      </c>
      <c r="G123" t="s">
        <v>609</v>
      </c>
      <c r="H123" t="s">
        <v>610</v>
      </c>
      <c r="I123" s="1" t="s">
        <v>611</v>
      </c>
      <c r="J123" s="1" t="s">
        <v>613</v>
      </c>
    </row>
    <row r="124" spans="1:15" x14ac:dyDescent="0.25">
      <c r="A124" t="s">
        <v>555</v>
      </c>
      <c r="B124" t="s">
        <v>596</v>
      </c>
      <c r="C124" t="s">
        <v>608</v>
      </c>
      <c r="D124" t="s">
        <v>595</v>
      </c>
      <c r="E124" t="s">
        <v>591</v>
      </c>
      <c r="F124" s="7" t="s">
        <v>592</v>
      </c>
      <c r="G124" t="s">
        <v>609</v>
      </c>
      <c r="H124" t="s">
        <v>610</v>
      </c>
      <c r="I124" s="1" t="s">
        <v>611</v>
      </c>
      <c r="J124" s="1" t="s">
        <v>613</v>
      </c>
    </row>
    <row r="126" spans="1:15" x14ac:dyDescent="0.25">
      <c r="A126" t="s">
        <v>553</v>
      </c>
      <c r="B126" t="s">
        <v>617</v>
      </c>
      <c r="C126" t="s">
        <v>617</v>
      </c>
      <c r="D126" s="6" t="s">
        <v>31</v>
      </c>
      <c r="E126" t="s">
        <v>31</v>
      </c>
      <c r="F126" s="9" t="s">
        <v>31</v>
      </c>
      <c r="G126" s="7" t="s">
        <v>29</v>
      </c>
      <c r="H126" t="s">
        <v>29</v>
      </c>
      <c r="I126" t="s">
        <v>29</v>
      </c>
      <c r="J126" t="s">
        <v>621</v>
      </c>
    </row>
    <row r="127" spans="1:15" x14ac:dyDescent="0.25">
      <c r="A127" t="s">
        <v>554</v>
      </c>
      <c r="B127" t="s">
        <v>618</v>
      </c>
      <c r="C127" t="s">
        <v>618</v>
      </c>
      <c r="D127" t="s">
        <v>618</v>
      </c>
      <c r="E127" s="16" t="s">
        <v>618</v>
      </c>
      <c r="F127" s="9" t="s">
        <v>618</v>
      </c>
      <c r="G127" t="s">
        <v>618</v>
      </c>
      <c r="H127" t="s">
        <v>618</v>
      </c>
      <c r="I127" t="s">
        <v>618</v>
      </c>
      <c r="J127" t="s">
        <v>624</v>
      </c>
    </row>
    <row r="128" spans="1:15" x14ac:dyDescent="0.25">
      <c r="A128" t="s">
        <v>556</v>
      </c>
      <c r="B128" t="s">
        <v>617</v>
      </c>
      <c r="C128" t="s">
        <v>617</v>
      </c>
      <c r="D128" s="6" t="s">
        <v>619</v>
      </c>
      <c r="E128" t="s">
        <v>617</v>
      </c>
      <c r="F128" s="7" t="s">
        <v>620</v>
      </c>
      <c r="G128" t="s">
        <v>620</v>
      </c>
      <c r="H128" t="s">
        <v>620</v>
      </c>
      <c r="I128" t="s">
        <v>620</v>
      </c>
      <c r="J128" t="s">
        <v>622</v>
      </c>
    </row>
    <row r="129" spans="1:10" x14ac:dyDescent="0.25">
      <c r="A129" t="s">
        <v>557</v>
      </c>
      <c r="B129" t="s">
        <v>31</v>
      </c>
      <c r="C129" s="6" t="s">
        <v>617</v>
      </c>
      <c r="D129" t="s">
        <v>617</v>
      </c>
      <c r="E129" t="s">
        <v>617</v>
      </c>
      <c r="F129" s="7" t="s">
        <v>29</v>
      </c>
      <c r="G129" t="s">
        <v>29</v>
      </c>
      <c r="H129" t="s">
        <v>29</v>
      </c>
      <c r="I129" t="s">
        <v>29</v>
      </c>
      <c r="J129" t="s">
        <v>623</v>
      </c>
    </row>
    <row r="130" spans="1:10" x14ac:dyDescent="0.25">
      <c r="A130" t="s">
        <v>555</v>
      </c>
      <c r="B130" t="s">
        <v>512</v>
      </c>
      <c r="C130" t="s">
        <v>512</v>
      </c>
      <c r="D130" t="s">
        <v>512</v>
      </c>
      <c r="E130" t="s">
        <v>512</v>
      </c>
      <c r="F130" s="16" t="s">
        <v>512</v>
      </c>
      <c r="G130" t="s">
        <v>512</v>
      </c>
      <c r="H130" t="s">
        <v>512</v>
      </c>
      <c r="I130" t="s">
        <v>512</v>
      </c>
      <c r="J130" t="s">
        <v>625</v>
      </c>
    </row>
    <row r="131" spans="1:10" x14ac:dyDescent="0.25">
      <c r="A131" t="s">
        <v>555</v>
      </c>
      <c r="B131" t="s">
        <v>512</v>
      </c>
      <c r="C131" t="s">
        <v>512</v>
      </c>
      <c r="D131" t="s">
        <v>512</v>
      </c>
      <c r="E131" t="s">
        <v>512</v>
      </c>
      <c r="F131" s="16" t="s">
        <v>512</v>
      </c>
      <c r="G131" t="s">
        <v>512</v>
      </c>
      <c r="H131" t="s">
        <v>512</v>
      </c>
      <c r="I131" t="s">
        <v>512</v>
      </c>
      <c r="J131" t="s">
        <v>625</v>
      </c>
    </row>
    <row r="133" spans="1:10" x14ac:dyDescent="0.25">
      <c r="B133" s="14">
        <v>150000</v>
      </c>
      <c r="C133" s="14">
        <v>300000</v>
      </c>
      <c r="D133" s="14">
        <v>500000</v>
      </c>
      <c r="E133" s="14">
        <v>750000</v>
      </c>
      <c r="F133" s="14">
        <v>1000000</v>
      </c>
      <c r="G133" s="14">
        <v>1500000</v>
      </c>
      <c r="H133" s="14">
        <v>2000000</v>
      </c>
      <c r="I133" s="14">
        <v>3000000</v>
      </c>
    </row>
    <row r="134" spans="1:10" x14ac:dyDescent="0.25">
      <c r="A134" t="s">
        <v>577</v>
      </c>
      <c r="B134">
        <v>9</v>
      </c>
      <c r="C134">
        <v>10</v>
      </c>
      <c r="D134">
        <v>11</v>
      </c>
      <c r="E134">
        <v>12</v>
      </c>
      <c r="F134">
        <v>12</v>
      </c>
      <c r="G134">
        <v>14</v>
      </c>
      <c r="H134">
        <v>15</v>
      </c>
      <c r="I134">
        <v>18</v>
      </c>
    </row>
    <row r="135" spans="1:10" x14ac:dyDescent="0.25">
      <c r="A135" t="s">
        <v>576</v>
      </c>
      <c r="B135">
        <v>8</v>
      </c>
      <c r="C135">
        <v>9</v>
      </c>
      <c r="D135">
        <v>10</v>
      </c>
      <c r="E135">
        <v>11</v>
      </c>
      <c r="F135">
        <v>12</v>
      </c>
      <c r="G135">
        <v>14</v>
      </c>
      <c r="H135">
        <v>16</v>
      </c>
      <c r="I135">
        <v>20</v>
      </c>
    </row>
    <row r="137" spans="1:10" x14ac:dyDescent="0.25">
      <c r="A137" t="s">
        <v>553</v>
      </c>
      <c r="C137" t="s">
        <v>627</v>
      </c>
    </row>
    <row r="138" spans="1:10" x14ac:dyDescent="0.25">
      <c r="A138" t="s">
        <v>554</v>
      </c>
      <c r="C138" t="s">
        <v>628</v>
      </c>
    </row>
    <row r="139" spans="1:10" x14ac:dyDescent="0.25">
      <c r="A139" t="s">
        <v>556</v>
      </c>
      <c r="C139" t="s">
        <v>626</v>
      </c>
      <c r="E139">
        <f>10-10-4-4-6-3-1</f>
        <v>-18</v>
      </c>
      <c r="H139">
        <f>4.5+4+2+1.5+1</f>
        <v>13</v>
      </c>
      <c r="I139">
        <f>4.5+4+2+1.5+1</f>
        <v>13</v>
      </c>
      <c r="J139">
        <f>I139*3</f>
        <v>39</v>
      </c>
    </row>
    <row r="140" spans="1:10" x14ac:dyDescent="0.25">
      <c r="A140" t="s">
        <v>557</v>
      </c>
      <c r="C140" t="s">
        <v>633</v>
      </c>
      <c r="H140">
        <f>H139*4</f>
        <v>52</v>
      </c>
      <c r="I140">
        <f>I139*4</f>
        <v>52</v>
      </c>
      <c r="J140">
        <f>J139*4</f>
        <v>156</v>
      </c>
    </row>
    <row r="141" spans="1:10" x14ac:dyDescent="0.25">
      <c r="A141" t="s">
        <v>555</v>
      </c>
      <c r="C141" t="s">
        <v>630</v>
      </c>
    </row>
    <row r="142" spans="1:10" x14ac:dyDescent="0.25">
      <c r="A142" t="s">
        <v>555</v>
      </c>
      <c r="C142" t="s">
        <v>629</v>
      </c>
      <c r="D142" t="s">
        <v>631</v>
      </c>
    </row>
    <row r="143" spans="1:10" x14ac:dyDescent="0.25">
      <c r="I143">
        <f>15-6-1-2</f>
        <v>6</v>
      </c>
    </row>
    <row r="145" spans="3:16" x14ac:dyDescent="0.25">
      <c r="C145" t="s">
        <v>632</v>
      </c>
    </row>
    <row r="146" spans="3:16" x14ac:dyDescent="0.25">
      <c r="I146">
        <f>1.5+2</f>
        <v>3.5</v>
      </c>
      <c r="K146">
        <f>0.9^5</f>
        <v>0.59049000000000018</v>
      </c>
    </row>
    <row r="147" spans="3:16" x14ac:dyDescent="0.25">
      <c r="I147">
        <f>I146*5</f>
        <v>17.5</v>
      </c>
    </row>
    <row r="149" spans="3:16" x14ac:dyDescent="0.25">
      <c r="H149">
        <f>4/20</f>
        <v>0.2</v>
      </c>
    </row>
    <row r="150" spans="3:16" x14ac:dyDescent="0.25">
      <c r="G150">
        <f>0.75^8</f>
        <v>0.1001129150390625</v>
      </c>
      <c r="H150">
        <f>0.8^8</f>
        <v>0.16777216000000014</v>
      </c>
      <c r="I150">
        <f>0.8^16</f>
        <v>2.8147497671065648E-2</v>
      </c>
      <c r="J150">
        <f>1-I150</f>
        <v>0.97185250232893439</v>
      </c>
    </row>
    <row r="151" spans="3:16" x14ac:dyDescent="0.25">
      <c r="F151">
        <f>6-5+10</f>
        <v>11</v>
      </c>
      <c r="J151">
        <f>J150^5</f>
        <v>0.8669654413265101</v>
      </c>
    </row>
    <row r="152" spans="3:16" x14ac:dyDescent="0.25">
      <c r="H152">
        <f>1-H150</f>
        <v>0.83222783999999983</v>
      </c>
      <c r="J152">
        <f>1-J151</f>
        <v>0.1330345586734899</v>
      </c>
    </row>
    <row r="154" spans="3:16" x14ac:dyDescent="0.25">
      <c r="E154">
        <v>10</v>
      </c>
      <c r="F154" t="s">
        <v>212</v>
      </c>
      <c r="H154">
        <v>10</v>
      </c>
      <c r="I154" t="s">
        <v>212</v>
      </c>
      <c r="K154">
        <v>10</v>
      </c>
      <c r="L154" t="s">
        <v>212</v>
      </c>
      <c r="O154">
        <v>10</v>
      </c>
      <c r="P154" t="s">
        <v>212</v>
      </c>
    </row>
    <row r="155" spans="3:16" x14ac:dyDescent="0.25">
      <c r="E155">
        <v>-4</v>
      </c>
      <c r="F155" t="s">
        <v>634</v>
      </c>
      <c r="H155">
        <v>-4</v>
      </c>
      <c r="I155" t="s">
        <v>634</v>
      </c>
      <c r="K155">
        <v>-4</v>
      </c>
      <c r="L155" t="s">
        <v>634</v>
      </c>
      <c r="O155">
        <v>-4</v>
      </c>
      <c r="P155" t="s">
        <v>634</v>
      </c>
    </row>
    <row r="156" spans="3:16" x14ac:dyDescent="0.25">
      <c r="E156">
        <v>-9</v>
      </c>
      <c r="F156" t="s">
        <v>635</v>
      </c>
      <c r="H156">
        <v>-11</v>
      </c>
      <c r="I156" t="s">
        <v>643</v>
      </c>
      <c r="K156">
        <v>-3</v>
      </c>
      <c r="L156" t="s">
        <v>682</v>
      </c>
      <c r="O156">
        <v>-3</v>
      </c>
      <c r="P156" t="s">
        <v>682</v>
      </c>
    </row>
    <row r="157" spans="3:16" x14ac:dyDescent="0.25">
      <c r="C157">
        <f>3.5+10</f>
        <v>13.5</v>
      </c>
      <c r="E157">
        <v>-3</v>
      </c>
      <c r="F157" t="s">
        <v>636</v>
      </c>
      <c r="H157">
        <v>-3</v>
      </c>
      <c r="I157" t="s">
        <v>636</v>
      </c>
      <c r="K157">
        <v>-9</v>
      </c>
      <c r="L157" t="s">
        <v>1468</v>
      </c>
      <c r="O157">
        <v>-9</v>
      </c>
      <c r="P157" t="s">
        <v>1468</v>
      </c>
    </row>
    <row r="158" spans="3:16" x14ac:dyDescent="0.25">
      <c r="C158">
        <f>C157*5</f>
        <v>67.5</v>
      </c>
      <c r="E158">
        <v>-10</v>
      </c>
      <c r="F158" t="s">
        <v>637</v>
      </c>
      <c r="H158">
        <v>-4</v>
      </c>
      <c r="I158" t="s">
        <v>637</v>
      </c>
      <c r="K158">
        <v>-4</v>
      </c>
      <c r="L158" t="s">
        <v>637</v>
      </c>
      <c r="O158">
        <v>-10</v>
      </c>
      <c r="P158" t="s">
        <v>1480</v>
      </c>
    </row>
    <row r="159" spans="3:16" x14ac:dyDescent="0.25">
      <c r="C159">
        <f>C158*8</f>
        <v>540</v>
      </c>
      <c r="E159">
        <v>-3</v>
      </c>
      <c r="F159" t="s">
        <v>638</v>
      </c>
      <c r="H159">
        <v>-3</v>
      </c>
      <c r="I159" t="s">
        <v>638</v>
      </c>
      <c r="K159">
        <v>-3</v>
      </c>
      <c r="L159" t="s">
        <v>638</v>
      </c>
      <c r="O159">
        <v>-3</v>
      </c>
      <c r="P159" t="s">
        <v>638</v>
      </c>
    </row>
    <row r="160" spans="3:16" x14ac:dyDescent="0.25">
      <c r="E160">
        <v>-5</v>
      </c>
      <c r="F160" t="s">
        <v>639</v>
      </c>
      <c r="H160">
        <v>-5</v>
      </c>
      <c r="I160" t="s">
        <v>639</v>
      </c>
      <c r="K160">
        <v>-5</v>
      </c>
      <c r="L160" t="s">
        <v>639</v>
      </c>
      <c r="O160">
        <v>-3</v>
      </c>
      <c r="P160" t="s">
        <v>830</v>
      </c>
    </row>
    <row r="161" spans="5:16" x14ac:dyDescent="0.25">
      <c r="E161">
        <v>-1</v>
      </c>
      <c r="F161" t="s">
        <v>640</v>
      </c>
      <c r="H161">
        <v>-1</v>
      </c>
      <c r="I161" t="s">
        <v>640</v>
      </c>
      <c r="K161">
        <v>-1</v>
      </c>
      <c r="L161" t="s">
        <v>640</v>
      </c>
      <c r="O161">
        <v>-1</v>
      </c>
      <c r="P161" t="s">
        <v>640</v>
      </c>
    </row>
    <row r="162" spans="5:16" x14ac:dyDescent="0.25">
      <c r="E162">
        <v>-2</v>
      </c>
      <c r="F162" t="s">
        <v>641</v>
      </c>
      <c r="H162">
        <v>-2</v>
      </c>
      <c r="I162" t="s">
        <v>641</v>
      </c>
      <c r="K162">
        <v>-2</v>
      </c>
      <c r="L162" t="s">
        <v>641</v>
      </c>
    </row>
    <row r="163" spans="5:16" x14ac:dyDescent="0.25">
      <c r="E163">
        <v>-1</v>
      </c>
      <c r="F163" t="s">
        <v>642</v>
      </c>
      <c r="H163">
        <v>-1</v>
      </c>
      <c r="I163" t="s">
        <v>642</v>
      </c>
      <c r="K163">
        <v>-3</v>
      </c>
      <c r="L163" t="s">
        <v>725</v>
      </c>
      <c r="O163">
        <v>-2</v>
      </c>
      <c r="P163" t="s">
        <v>1516</v>
      </c>
    </row>
    <row r="164" spans="5:16" x14ac:dyDescent="0.25">
      <c r="E164">
        <v>-2</v>
      </c>
      <c r="F164" t="s">
        <v>645</v>
      </c>
      <c r="H164">
        <v>-1</v>
      </c>
      <c r="I164" t="s">
        <v>644</v>
      </c>
      <c r="K164">
        <v>-1</v>
      </c>
      <c r="L164" t="s">
        <v>644</v>
      </c>
      <c r="O164">
        <v>-1</v>
      </c>
      <c r="P164" t="s">
        <v>644</v>
      </c>
    </row>
    <row r="165" spans="5:16" x14ac:dyDescent="0.25">
      <c r="E165">
        <v>-2</v>
      </c>
      <c r="F165" t="s">
        <v>726</v>
      </c>
      <c r="H165">
        <v>-1</v>
      </c>
      <c r="I165" t="s">
        <v>646</v>
      </c>
      <c r="K165">
        <v>-1</v>
      </c>
      <c r="L165" t="s">
        <v>646</v>
      </c>
      <c r="O165">
        <v>-1</v>
      </c>
      <c r="P165" t="s">
        <v>646</v>
      </c>
    </row>
    <row r="166" spans="5:16" x14ac:dyDescent="0.25">
      <c r="H166">
        <v>-2</v>
      </c>
      <c r="I166" t="s">
        <v>647</v>
      </c>
      <c r="K166">
        <v>-2</v>
      </c>
      <c r="L166" t="s">
        <v>647</v>
      </c>
    </row>
    <row r="167" spans="5:16" x14ac:dyDescent="0.25">
      <c r="H167">
        <v>-2</v>
      </c>
      <c r="I167" t="s">
        <v>726</v>
      </c>
      <c r="K167">
        <v>-2</v>
      </c>
      <c r="L167" t="s">
        <v>726</v>
      </c>
    </row>
    <row r="169" spans="5:16" x14ac:dyDescent="0.25">
      <c r="M169">
        <f>3*0.15*3</f>
        <v>1.3499999999999999</v>
      </c>
    </row>
    <row r="170" spans="5:16" x14ac:dyDescent="0.25">
      <c r="E170">
        <f>SUM(E154:E169)</f>
        <v>-32</v>
      </c>
      <c r="H170">
        <f>SUM(H154:H169)</f>
        <v>-30</v>
      </c>
      <c r="K170">
        <f>SUM(K154:K169)</f>
        <v>-30</v>
      </c>
      <c r="O170">
        <f>SUM(O154:O169)</f>
        <v>-27</v>
      </c>
    </row>
    <row r="178" spans="5:7" x14ac:dyDescent="0.25">
      <c r="E178">
        <v>6</v>
      </c>
      <c r="F178" t="s">
        <v>869</v>
      </c>
      <c r="G178" t="s">
        <v>1520</v>
      </c>
    </row>
    <row r="179" spans="5:7" x14ac:dyDescent="0.25">
      <c r="E179">
        <v>8</v>
      </c>
      <c r="F179" t="s">
        <v>870</v>
      </c>
      <c r="G179" t="s">
        <v>1517</v>
      </c>
    </row>
    <row r="180" spans="5:7" x14ac:dyDescent="0.25">
      <c r="E180">
        <v>3</v>
      </c>
      <c r="F180" t="s">
        <v>897</v>
      </c>
      <c r="G180" t="s">
        <v>1518</v>
      </c>
    </row>
    <row r="181" spans="5:7" x14ac:dyDescent="0.25">
      <c r="E181">
        <v>4</v>
      </c>
      <c r="F181" t="s">
        <v>874</v>
      </c>
      <c r="G181" t="s">
        <v>1519</v>
      </c>
    </row>
    <row r="182" spans="5:7" x14ac:dyDescent="0.25">
      <c r="E182">
        <v>5</v>
      </c>
      <c r="F182" t="s">
        <v>875</v>
      </c>
      <c r="G182" t="s">
        <v>1520</v>
      </c>
    </row>
    <row r="183" spans="5:7" x14ac:dyDescent="0.25">
      <c r="E183">
        <v>1</v>
      </c>
      <c r="F183" t="s">
        <v>1521</v>
      </c>
      <c r="G183" t="s">
        <v>1519</v>
      </c>
    </row>
    <row r="184" spans="5:7" x14ac:dyDescent="0.25">
      <c r="E184">
        <v>7</v>
      </c>
      <c r="F184" t="s">
        <v>1522</v>
      </c>
      <c r="G184" t="s">
        <v>1518</v>
      </c>
    </row>
  </sheetData>
  <pageMargins left="0.7" right="0.7" top="0.75" bottom="0.75" header="0.3" footer="0.3"/>
  <pageSetup orientation="portrait" r:id="rId1"/>
  <ignoredErrors>
    <ignoredError sqref="C119:C121" twoDigitTextYear="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J233"/>
  <sheetViews>
    <sheetView workbookViewId="0">
      <selection activeCell="D141" sqref="D141"/>
    </sheetView>
  </sheetViews>
  <sheetFormatPr defaultRowHeight="15" x14ac:dyDescent="0.25"/>
  <cols>
    <col min="14" max="14" width="14.85546875" customWidth="1"/>
    <col min="15" max="15" width="8.140625" customWidth="1"/>
    <col min="16" max="16" width="13.28515625" customWidth="1"/>
    <col min="23" max="23" width="10.42578125" customWidth="1"/>
  </cols>
  <sheetData>
    <row r="1" spans="1:19" x14ac:dyDescent="0.25">
      <c r="A1" t="s">
        <v>118</v>
      </c>
    </row>
    <row r="3" spans="1:19" x14ac:dyDescent="0.25">
      <c r="C3" t="s">
        <v>101</v>
      </c>
      <c r="F3" t="s">
        <v>100</v>
      </c>
      <c r="I3" t="s">
        <v>193</v>
      </c>
    </row>
    <row r="4" spans="1:19" x14ac:dyDescent="0.25">
      <c r="A4" t="s">
        <v>97</v>
      </c>
      <c r="I4" t="s">
        <v>194</v>
      </c>
    </row>
    <row r="5" spans="1:19" x14ac:dyDescent="0.25">
      <c r="A5" t="s">
        <v>95</v>
      </c>
      <c r="C5">
        <v>14</v>
      </c>
      <c r="D5">
        <v>10</v>
      </c>
      <c r="E5">
        <v>0</v>
      </c>
      <c r="F5">
        <v>14</v>
      </c>
    </row>
    <row r="6" spans="1:19" x14ac:dyDescent="0.25">
      <c r="A6" t="s">
        <v>92</v>
      </c>
      <c r="C6">
        <v>3</v>
      </c>
      <c r="D6">
        <v>2</v>
      </c>
      <c r="E6">
        <v>2</v>
      </c>
      <c r="F6">
        <v>0</v>
      </c>
      <c r="L6" t="s">
        <v>97</v>
      </c>
      <c r="M6" t="s">
        <v>201</v>
      </c>
    </row>
    <row r="7" spans="1:19" x14ac:dyDescent="0.25">
      <c r="A7" t="s">
        <v>88</v>
      </c>
      <c r="C7">
        <v>13</v>
      </c>
      <c r="D7">
        <v>0</v>
      </c>
      <c r="E7">
        <v>10</v>
      </c>
      <c r="F7">
        <v>0</v>
      </c>
      <c r="I7">
        <v>14</v>
      </c>
      <c r="L7">
        <v>14</v>
      </c>
      <c r="M7">
        <v>14</v>
      </c>
    </row>
    <row r="8" spans="1:19" x14ac:dyDescent="0.25">
      <c r="A8" t="s">
        <v>86</v>
      </c>
      <c r="C8">
        <v>12</v>
      </c>
      <c r="D8">
        <f>3.5+6</f>
        <v>9.5</v>
      </c>
      <c r="E8">
        <f>7</f>
        <v>7</v>
      </c>
      <c r="F8">
        <v>12</v>
      </c>
      <c r="I8">
        <v>3</v>
      </c>
      <c r="L8">
        <v>0</v>
      </c>
      <c r="M8">
        <v>0</v>
      </c>
      <c r="O8" t="s">
        <v>202</v>
      </c>
      <c r="P8" t="s">
        <v>201</v>
      </c>
    </row>
    <row r="9" spans="1:19" x14ac:dyDescent="0.25">
      <c r="A9" t="s">
        <v>82</v>
      </c>
      <c r="C9">
        <v>10</v>
      </c>
      <c r="D9">
        <v>10</v>
      </c>
      <c r="E9">
        <v>0</v>
      </c>
      <c r="F9">
        <v>10</v>
      </c>
      <c r="I9">
        <v>13</v>
      </c>
      <c r="L9">
        <v>0</v>
      </c>
      <c r="M9">
        <v>0</v>
      </c>
      <c r="O9">
        <v>14</v>
      </c>
      <c r="P9">
        <v>14</v>
      </c>
    </row>
    <row r="10" spans="1:19" x14ac:dyDescent="0.25">
      <c r="A10" t="s">
        <v>110</v>
      </c>
      <c r="C10">
        <v>0</v>
      </c>
      <c r="D10">
        <v>0</v>
      </c>
      <c r="E10">
        <v>0</v>
      </c>
      <c r="F10">
        <v>20</v>
      </c>
      <c r="I10">
        <v>12</v>
      </c>
      <c r="L10">
        <v>12</v>
      </c>
      <c r="M10">
        <v>12</v>
      </c>
      <c r="O10">
        <v>0</v>
      </c>
      <c r="P10">
        <v>0</v>
      </c>
      <c r="R10" t="s">
        <v>204</v>
      </c>
      <c r="S10" t="s">
        <v>201</v>
      </c>
    </row>
    <row r="11" spans="1:19" x14ac:dyDescent="0.25">
      <c r="A11" t="s">
        <v>75</v>
      </c>
      <c r="C11">
        <v>0</v>
      </c>
      <c r="D11">
        <v>0</v>
      </c>
      <c r="E11">
        <v>0</v>
      </c>
      <c r="F11">
        <v>2</v>
      </c>
      <c r="I11">
        <v>10</v>
      </c>
      <c r="L11">
        <v>10</v>
      </c>
      <c r="M11">
        <v>10</v>
      </c>
      <c r="O11">
        <v>0</v>
      </c>
      <c r="P11">
        <v>0</v>
      </c>
      <c r="R11">
        <v>7</v>
      </c>
      <c r="S11">
        <v>7</v>
      </c>
    </row>
    <row r="12" spans="1:19" x14ac:dyDescent="0.25">
      <c r="A12" t="s">
        <v>73</v>
      </c>
      <c r="C12">
        <v>10</v>
      </c>
      <c r="D12">
        <v>4</v>
      </c>
      <c r="E12">
        <v>5</v>
      </c>
      <c r="F12">
        <v>4</v>
      </c>
      <c r="I12">
        <v>0</v>
      </c>
      <c r="L12">
        <v>120</v>
      </c>
      <c r="M12">
        <f>(19*4)*5+(16*4)</f>
        <v>444</v>
      </c>
      <c r="O12">
        <f>12+(6+5)*3</f>
        <v>45</v>
      </c>
      <c r="P12">
        <f>12+(6+5)*3</f>
        <v>45</v>
      </c>
      <c r="R12">
        <v>3</v>
      </c>
      <c r="S12">
        <v>3</v>
      </c>
    </row>
    <row r="13" spans="1:19" x14ac:dyDescent="0.25">
      <c r="A13" t="s">
        <v>66</v>
      </c>
      <c r="C13">
        <f>SUM(C5:C11)</f>
        <v>52</v>
      </c>
      <c r="D13">
        <f>SUM(D5:D11)</f>
        <v>31.5</v>
      </c>
      <c r="E13">
        <f>SUM(E5:E11)</f>
        <v>19</v>
      </c>
      <c r="F13">
        <f>SUM(F5:F11)</f>
        <v>58</v>
      </c>
      <c r="I13">
        <v>0</v>
      </c>
      <c r="L13">
        <v>2</v>
      </c>
      <c r="M13">
        <v>2</v>
      </c>
      <c r="O13">
        <v>10</v>
      </c>
      <c r="P13">
        <v>10</v>
      </c>
      <c r="R13">
        <v>2</v>
      </c>
      <c r="S13">
        <v>2</v>
      </c>
    </row>
    <row r="14" spans="1:19" x14ac:dyDescent="0.25">
      <c r="A14" t="s">
        <v>64</v>
      </c>
      <c r="C14">
        <f>C13*C12</f>
        <v>520</v>
      </c>
      <c r="D14">
        <f>D13*D12</f>
        <v>126</v>
      </c>
      <c r="E14">
        <f>E13*E12</f>
        <v>95</v>
      </c>
      <c r="F14">
        <f>F13*F12</f>
        <v>232</v>
      </c>
      <c r="I14">
        <v>10</v>
      </c>
      <c r="L14">
        <v>4</v>
      </c>
      <c r="M14">
        <v>4</v>
      </c>
      <c r="O14">
        <v>120</v>
      </c>
      <c r="P14">
        <f>(19*4)*5+(16*4)</f>
        <v>444</v>
      </c>
      <c r="R14">
        <v>120</v>
      </c>
      <c r="S14">
        <f>(19*4)*5+(16*4)</f>
        <v>444</v>
      </c>
    </row>
    <row r="15" spans="1:19" x14ac:dyDescent="0.25">
      <c r="I15">
        <f>SUM(I7:I13)</f>
        <v>52</v>
      </c>
      <c r="L15">
        <f>SUM(L7:L13)</f>
        <v>158</v>
      </c>
      <c r="M15">
        <f>SUM(M7:M13)</f>
        <v>482</v>
      </c>
      <c r="O15">
        <v>2</v>
      </c>
      <c r="P15">
        <v>2</v>
      </c>
      <c r="R15">
        <v>10</v>
      </c>
      <c r="S15">
        <v>10</v>
      </c>
    </row>
    <row r="16" spans="1:19" x14ac:dyDescent="0.25">
      <c r="C16" t="s">
        <v>101</v>
      </c>
      <c r="F16" t="s">
        <v>100</v>
      </c>
      <c r="I16">
        <f>I15*I14</f>
        <v>520</v>
      </c>
      <c r="L16" s="9">
        <f>L15*L14+(8+2+2+L12)</f>
        <v>764</v>
      </c>
      <c r="M16" s="9">
        <f>M15*M14+(8+2+2+M12)</f>
        <v>2384</v>
      </c>
      <c r="N16" s="9"/>
      <c r="O16" s="9">
        <v>2</v>
      </c>
      <c r="P16" s="9">
        <v>2</v>
      </c>
      <c r="Q16" s="9"/>
      <c r="R16" s="9">
        <f>SUM(R11:R14)</f>
        <v>132</v>
      </c>
      <c r="S16" s="9">
        <f>SUM(S11:S14)</f>
        <v>456</v>
      </c>
    </row>
    <row r="17" spans="1:19" x14ac:dyDescent="0.25">
      <c r="A17" t="s">
        <v>117</v>
      </c>
      <c r="I17">
        <f>I16*6</f>
        <v>3120</v>
      </c>
      <c r="K17" t="s">
        <v>203</v>
      </c>
      <c r="L17" s="9">
        <f>L16*6</f>
        <v>4584</v>
      </c>
      <c r="M17" s="9">
        <f>M16*6</f>
        <v>14304</v>
      </c>
      <c r="N17" s="9"/>
      <c r="O17" s="9">
        <f>SUM(O9:O15)</f>
        <v>191</v>
      </c>
      <c r="P17" s="9">
        <f>SUM(P9:P15)</f>
        <v>515</v>
      </c>
      <c r="Q17" s="9"/>
      <c r="R17" s="9">
        <f>R16*R15</f>
        <v>1320</v>
      </c>
      <c r="S17" s="9">
        <f>S16*S15</f>
        <v>4560</v>
      </c>
    </row>
    <row r="18" spans="1:19" x14ac:dyDescent="0.25">
      <c r="A18" t="s">
        <v>95</v>
      </c>
      <c r="C18" t="s">
        <v>80</v>
      </c>
      <c r="F18">
        <v>14</v>
      </c>
      <c r="L18" s="9"/>
      <c r="M18" s="9"/>
      <c r="N18" s="9"/>
      <c r="O18" s="9">
        <f>O17*O16</f>
        <v>382</v>
      </c>
      <c r="P18" s="9">
        <f>P17*P16</f>
        <v>1030</v>
      </c>
      <c r="Q18" s="9" t="s">
        <v>203</v>
      </c>
      <c r="R18" s="9">
        <f>R17*6</f>
        <v>7920</v>
      </c>
      <c r="S18" s="9">
        <f>S17*6</f>
        <v>27360</v>
      </c>
    </row>
    <row r="19" spans="1:19" x14ac:dyDescent="0.25">
      <c r="A19" t="s">
        <v>116</v>
      </c>
      <c r="C19" t="s">
        <v>80</v>
      </c>
      <c r="F19">
        <v>0</v>
      </c>
      <c r="L19" s="9"/>
      <c r="M19" s="9"/>
      <c r="N19" s="9" t="s">
        <v>203</v>
      </c>
      <c r="O19" s="9">
        <f>O18*6</f>
        <v>2292</v>
      </c>
      <c r="P19" s="9">
        <f>P18*6</f>
        <v>6180</v>
      </c>
      <c r="Q19" s="9"/>
      <c r="R19" s="9"/>
      <c r="S19" s="9"/>
    </row>
    <row r="20" spans="1:19" x14ac:dyDescent="0.25">
      <c r="A20" t="s">
        <v>88</v>
      </c>
      <c r="C20" t="s">
        <v>80</v>
      </c>
      <c r="F20">
        <v>0</v>
      </c>
      <c r="J20">
        <f>(40+14+6)*8+(10+14+2)*2</f>
        <v>532</v>
      </c>
      <c r="L20" s="9"/>
      <c r="M20" s="9"/>
      <c r="N20" s="9"/>
      <c r="O20" s="9"/>
      <c r="P20" s="9"/>
      <c r="Q20" s="9"/>
      <c r="R20" s="9"/>
      <c r="S20" s="9"/>
    </row>
    <row r="21" spans="1:19" x14ac:dyDescent="0.25">
      <c r="A21" t="s">
        <v>115</v>
      </c>
      <c r="C21" t="s">
        <v>80</v>
      </c>
      <c r="F21">
        <v>10</v>
      </c>
    </row>
    <row r="22" spans="1:19" x14ac:dyDescent="0.25">
      <c r="A22" t="s">
        <v>110</v>
      </c>
      <c r="C22" t="s">
        <v>80</v>
      </c>
      <c r="F22">
        <v>20</v>
      </c>
    </row>
    <row r="23" spans="1:19" x14ac:dyDescent="0.25">
      <c r="A23" t="s">
        <v>75</v>
      </c>
      <c r="C23" t="s">
        <v>80</v>
      </c>
      <c r="F23">
        <v>2</v>
      </c>
      <c r="L23">
        <f>2*(20+14+2)+(10+14+2)</f>
        <v>98</v>
      </c>
    </row>
    <row r="24" spans="1:19" x14ac:dyDescent="0.25">
      <c r="A24" t="s">
        <v>73</v>
      </c>
      <c r="C24" t="s">
        <v>80</v>
      </c>
      <c r="F24">
        <v>1</v>
      </c>
      <c r="L24">
        <f>3*(20+14+2+1)+(10+14+2+1)</f>
        <v>138</v>
      </c>
    </row>
    <row r="25" spans="1:19" x14ac:dyDescent="0.25">
      <c r="A25" t="s">
        <v>66</v>
      </c>
      <c r="C25" t="s">
        <v>80</v>
      </c>
      <c r="F25">
        <f>SUM(F17:F23)</f>
        <v>46</v>
      </c>
    </row>
    <row r="26" spans="1:19" x14ac:dyDescent="0.25">
      <c r="A26" t="s">
        <v>64</v>
      </c>
      <c r="C26" t="s">
        <v>80</v>
      </c>
      <c r="F26">
        <f>F25*F24</f>
        <v>46</v>
      </c>
    </row>
    <row r="28" spans="1:19" x14ac:dyDescent="0.25">
      <c r="A28" t="s">
        <v>96</v>
      </c>
      <c r="J28">
        <f>(5+3+14+2)*4+(4.5+3+14)</f>
        <v>117.5</v>
      </c>
      <c r="K28">
        <f>(5+3+14+2)*3+(4.5+3+14)</f>
        <v>93.5</v>
      </c>
      <c r="L28">
        <f>(5+3+14+2)*2+(4.5+3+14)</f>
        <v>69.5</v>
      </c>
      <c r="M28">
        <f>(3.5+4+3+14+2)*3+(5+3+14)</f>
        <v>101.5</v>
      </c>
      <c r="N28">
        <f>(3.5+4+3+14+2)*2+(5+3+14)</f>
        <v>75</v>
      </c>
    </row>
    <row r="29" spans="1:19" x14ac:dyDescent="0.25">
      <c r="A29" t="s">
        <v>95</v>
      </c>
      <c r="C29" t="s">
        <v>80</v>
      </c>
      <c r="F29">
        <v>0</v>
      </c>
      <c r="J29">
        <f>(5+3+14+2)*4+(4.5+2+14)</f>
        <v>116.5</v>
      </c>
      <c r="K29">
        <f>(5+3+14+2)*4+(4.5+2+14)</f>
        <v>116.5</v>
      </c>
      <c r="L29">
        <f>(5+3+14+2)*3+(4.5+2+14)</f>
        <v>92.5</v>
      </c>
      <c r="M29">
        <f>(3.5+4+3+9+2)*4+(4.5+2+9)</f>
        <v>101.5</v>
      </c>
      <c r="N29">
        <f>(3.5+4+3+7+2)*3+(4.5+2+7)</f>
        <v>72</v>
      </c>
    </row>
    <row r="30" spans="1:19" x14ac:dyDescent="0.25">
      <c r="A30" t="s">
        <v>88</v>
      </c>
      <c r="C30" t="s">
        <v>80</v>
      </c>
      <c r="F30">
        <v>0</v>
      </c>
      <c r="J30">
        <f>(4.5+3+7+2)*4+(4.5+2+7)</f>
        <v>79.5</v>
      </c>
      <c r="K30">
        <f>(4.5+3+7+2)*4+(4.5+2+7)</f>
        <v>79.5</v>
      </c>
      <c r="L30">
        <f>(4.5+3+7+2)*3+(4.5+2+7)</f>
        <v>63</v>
      </c>
    </row>
    <row r="31" spans="1:19" x14ac:dyDescent="0.25">
      <c r="A31" t="s">
        <v>85</v>
      </c>
      <c r="C31" t="s">
        <v>80</v>
      </c>
      <c r="F31">
        <v>7</v>
      </c>
    </row>
    <row r="32" spans="1:19" x14ac:dyDescent="0.25">
      <c r="A32" t="s">
        <v>81</v>
      </c>
      <c r="C32" t="s">
        <v>80</v>
      </c>
      <c r="F32">
        <v>3</v>
      </c>
    </row>
    <row r="33" spans="1:16" x14ac:dyDescent="0.25">
      <c r="A33" t="s">
        <v>110</v>
      </c>
      <c r="C33" t="s">
        <v>80</v>
      </c>
      <c r="F33">
        <v>20</v>
      </c>
    </row>
    <row r="34" spans="1:16" x14ac:dyDescent="0.25">
      <c r="A34" t="s">
        <v>75</v>
      </c>
      <c r="C34" t="s">
        <v>80</v>
      </c>
      <c r="F34">
        <v>2</v>
      </c>
      <c r="N34">
        <f>5+3+2+14+5</f>
        <v>29</v>
      </c>
    </row>
    <row r="35" spans="1:16" x14ac:dyDescent="0.25">
      <c r="A35" t="s">
        <v>73</v>
      </c>
      <c r="C35" t="s">
        <v>80</v>
      </c>
      <c r="F35">
        <v>10</v>
      </c>
    </row>
    <row r="36" spans="1:16" x14ac:dyDescent="0.25">
      <c r="A36" t="s">
        <v>66</v>
      </c>
      <c r="C36" t="s">
        <v>80</v>
      </c>
      <c r="F36">
        <f>SUM(F29:F34)</f>
        <v>32</v>
      </c>
    </row>
    <row r="37" spans="1:16" x14ac:dyDescent="0.25">
      <c r="A37" t="s">
        <v>64</v>
      </c>
      <c r="C37" t="s">
        <v>80</v>
      </c>
      <c r="F37">
        <f>F36*F35</f>
        <v>320</v>
      </c>
    </row>
    <row r="39" spans="1:16" x14ac:dyDescent="0.25">
      <c r="A39" t="s">
        <v>114</v>
      </c>
    </row>
    <row r="40" spans="1:16" x14ac:dyDescent="0.25">
      <c r="A40" t="s">
        <v>113</v>
      </c>
    </row>
    <row r="41" spans="1:16" x14ac:dyDescent="0.25">
      <c r="C41" t="s">
        <v>101</v>
      </c>
      <c r="F41" t="s">
        <v>100</v>
      </c>
      <c r="J41" t="s">
        <v>99</v>
      </c>
      <c r="N41" t="s">
        <v>112</v>
      </c>
    </row>
    <row r="42" spans="1:16" x14ac:dyDescent="0.25">
      <c r="A42" t="s">
        <v>97</v>
      </c>
      <c r="D42" t="s">
        <v>96</v>
      </c>
      <c r="H42" t="s">
        <v>44</v>
      </c>
      <c r="N42">
        <v>6288</v>
      </c>
      <c r="P42" t="s">
        <v>26</v>
      </c>
    </row>
    <row r="43" spans="1:16" x14ac:dyDescent="0.25">
      <c r="A43" t="s">
        <v>95</v>
      </c>
      <c r="C43">
        <v>14</v>
      </c>
      <c r="D43" t="s">
        <v>95</v>
      </c>
      <c r="F43">
        <v>0</v>
      </c>
      <c r="H43" s="1" t="s">
        <v>95</v>
      </c>
      <c r="J43">
        <v>14</v>
      </c>
      <c r="K43" t="s">
        <v>94</v>
      </c>
      <c r="N43">
        <v>880</v>
      </c>
      <c r="P43" t="s">
        <v>111</v>
      </c>
    </row>
    <row r="44" spans="1:16" x14ac:dyDescent="0.25">
      <c r="A44" t="s">
        <v>92</v>
      </c>
      <c r="C44">
        <v>3</v>
      </c>
      <c r="D44" t="s">
        <v>91</v>
      </c>
      <c r="F44">
        <v>0</v>
      </c>
      <c r="H44" t="s">
        <v>90</v>
      </c>
      <c r="J44">
        <v>3</v>
      </c>
      <c r="N44">
        <v>600</v>
      </c>
      <c r="P44" t="s">
        <v>16</v>
      </c>
    </row>
    <row r="45" spans="1:16" x14ac:dyDescent="0.25">
      <c r="A45" t="s">
        <v>88</v>
      </c>
      <c r="C45">
        <v>13</v>
      </c>
      <c r="D45" t="s">
        <v>88</v>
      </c>
      <c r="F45">
        <v>0</v>
      </c>
      <c r="H45" t="s">
        <v>87</v>
      </c>
      <c r="J45">
        <v>1</v>
      </c>
      <c r="N45">
        <v>150</v>
      </c>
      <c r="P45" t="s">
        <v>11</v>
      </c>
    </row>
    <row r="46" spans="1:16" x14ac:dyDescent="0.25">
      <c r="A46" t="s">
        <v>86</v>
      </c>
      <c r="C46">
        <v>12</v>
      </c>
      <c r="D46" t="s">
        <v>85</v>
      </c>
      <c r="F46">
        <v>7</v>
      </c>
      <c r="H46" t="s">
        <v>84</v>
      </c>
      <c r="J46">
        <v>18</v>
      </c>
      <c r="N46">
        <v>48</v>
      </c>
      <c r="P46" t="s">
        <v>6</v>
      </c>
    </row>
    <row r="47" spans="1:16" x14ac:dyDescent="0.25">
      <c r="A47" t="s">
        <v>82</v>
      </c>
      <c r="C47">
        <v>10</v>
      </c>
      <c r="D47" t="s">
        <v>81</v>
      </c>
      <c r="F47">
        <v>3</v>
      </c>
      <c r="H47" t="s">
        <v>80</v>
      </c>
      <c r="J47">
        <v>0</v>
      </c>
      <c r="N47">
        <v>720</v>
      </c>
      <c r="P47">
        <f>1048*6</f>
        <v>6288</v>
      </c>
    </row>
    <row r="48" spans="1:16" x14ac:dyDescent="0.25">
      <c r="A48" t="s">
        <v>76</v>
      </c>
      <c r="C48">
        <v>0</v>
      </c>
      <c r="D48" t="s">
        <v>110</v>
      </c>
      <c r="F48">
        <f>19*4</f>
        <v>76</v>
      </c>
      <c r="H48" t="s">
        <v>76</v>
      </c>
      <c r="J48">
        <v>76</v>
      </c>
      <c r="N48">
        <v>96</v>
      </c>
      <c r="P48" t="s">
        <v>109</v>
      </c>
    </row>
    <row r="49" spans="1:16" x14ac:dyDescent="0.25">
      <c r="A49" t="s">
        <v>75</v>
      </c>
      <c r="C49">
        <v>0</v>
      </c>
      <c r="D49" t="s">
        <v>75</v>
      </c>
      <c r="F49">
        <v>2</v>
      </c>
      <c r="H49" t="s">
        <v>75</v>
      </c>
      <c r="J49">
        <v>0</v>
      </c>
      <c r="N49">
        <v>720</v>
      </c>
      <c r="P49" t="s">
        <v>108</v>
      </c>
    </row>
    <row r="50" spans="1:16" x14ac:dyDescent="0.25">
      <c r="A50" t="s">
        <v>73</v>
      </c>
      <c r="C50">
        <v>10</v>
      </c>
      <c r="D50" t="s">
        <v>73</v>
      </c>
      <c r="F50">
        <v>10</v>
      </c>
      <c r="H50" t="s">
        <v>73</v>
      </c>
      <c r="J50">
        <v>10</v>
      </c>
      <c r="N50">
        <v>540</v>
      </c>
      <c r="P50">
        <f>80*11</f>
        <v>880</v>
      </c>
    </row>
    <row r="51" spans="1:16" x14ac:dyDescent="0.25">
      <c r="A51" t="s">
        <v>66</v>
      </c>
      <c r="C51">
        <f>SUM(C43:C49)</f>
        <v>52</v>
      </c>
      <c r="D51" t="s">
        <v>66</v>
      </c>
      <c r="F51">
        <f>SUM(F43:F49)</f>
        <v>88</v>
      </c>
      <c r="H51" t="s">
        <v>71</v>
      </c>
      <c r="J51">
        <v>7</v>
      </c>
      <c r="N51">
        <v>50</v>
      </c>
      <c r="P51" t="s">
        <v>107</v>
      </c>
    </row>
    <row r="52" spans="1:16" x14ac:dyDescent="0.25">
      <c r="A52" t="s">
        <v>64</v>
      </c>
      <c r="C52">
        <f>C51*C50</f>
        <v>520</v>
      </c>
      <c r="D52" t="s">
        <v>64</v>
      </c>
      <c r="F52">
        <f>F51*F50</f>
        <v>880</v>
      </c>
      <c r="H52" t="s">
        <v>70</v>
      </c>
      <c r="J52">
        <f>SUM(J44:J49)</f>
        <v>98</v>
      </c>
      <c r="N52">
        <v>360</v>
      </c>
      <c r="P52" t="s">
        <v>106</v>
      </c>
    </row>
    <row r="53" spans="1:16" x14ac:dyDescent="0.25">
      <c r="H53" t="s">
        <v>68</v>
      </c>
      <c r="J53">
        <f>J52*J51</f>
        <v>686</v>
      </c>
      <c r="N53">
        <v>360</v>
      </c>
      <c r="P53">
        <f>200*3</f>
        <v>600</v>
      </c>
    </row>
    <row r="54" spans="1:16" x14ac:dyDescent="0.25">
      <c r="H54" t="s">
        <v>66</v>
      </c>
      <c r="J54">
        <f>J53+J43</f>
        <v>700</v>
      </c>
      <c r="N54">
        <v>480</v>
      </c>
      <c r="P54" t="s">
        <v>105</v>
      </c>
    </row>
    <row r="55" spans="1:16" x14ac:dyDescent="0.25">
      <c r="H55" t="s">
        <v>64</v>
      </c>
      <c r="J55">
        <f>J54*J50</f>
        <v>7000</v>
      </c>
      <c r="N55">
        <v>160</v>
      </c>
      <c r="P55" t="s">
        <v>104</v>
      </c>
    </row>
    <row r="56" spans="1:16" x14ac:dyDescent="0.25">
      <c r="A56" t="s">
        <v>103</v>
      </c>
      <c r="N56">
        <v>101</v>
      </c>
      <c r="P56">
        <f>6*25</f>
        <v>150</v>
      </c>
    </row>
    <row r="57" spans="1:16" x14ac:dyDescent="0.25">
      <c r="N57">
        <f>SUM(N42:N56)</f>
        <v>11553</v>
      </c>
      <c r="P57" t="s">
        <v>102</v>
      </c>
    </row>
    <row r="58" spans="1:16" x14ac:dyDescent="0.25">
      <c r="C58" t="s">
        <v>101</v>
      </c>
      <c r="F58" t="s">
        <v>100</v>
      </c>
      <c r="J58" t="s">
        <v>99</v>
      </c>
      <c r="P58" t="s">
        <v>98</v>
      </c>
    </row>
    <row r="59" spans="1:16" x14ac:dyDescent="0.25">
      <c r="A59" t="s">
        <v>97</v>
      </c>
      <c r="D59" t="s">
        <v>96</v>
      </c>
      <c r="H59" t="s">
        <v>44</v>
      </c>
      <c r="P59">
        <f>6*8</f>
        <v>48</v>
      </c>
    </row>
    <row r="60" spans="1:16" x14ac:dyDescent="0.25">
      <c r="A60" t="s">
        <v>95</v>
      </c>
      <c r="C60">
        <v>14</v>
      </c>
      <c r="D60" t="s">
        <v>95</v>
      </c>
      <c r="F60">
        <v>0</v>
      </c>
      <c r="H60" s="1" t="s">
        <v>95</v>
      </c>
      <c r="J60">
        <v>14</v>
      </c>
      <c r="K60" t="s">
        <v>94</v>
      </c>
      <c r="N60">
        <v>6288</v>
      </c>
      <c r="P60" t="s">
        <v>93</v>
      </c>
    </row>
    <row r="61" spans="1:16" x14ac:dyDescent="0.25">
      <c r="A61" t="s">
        <v>92</v>
      </c>
      <c r="C61">
        <v>3</v>
      </c>
      <c r="D61" t="s">
        <v>91</v>
      </c>
      <c r="F61">
        <v>0</v>
      </c>
      <c r="H61" t="s">
        <v>90</v>
      </c>
      <c r="J61">
        <v>3</v>
      </c>
      <c r="N61">
        <v>880</v>
      </c>
      <c r="P61" t="s">
        <v>89</v>
      </c>
    </row>
    <row r="62" spans="1:16" x14ac:dyDescent="0.25">
      <c r="A62" t="s">
        <v>88</v>
      </c>
      <c r="C62">
        <v>13</v>
      </c>
      <c r="D62" t="s">
        <v>88</v>
      </c>
      <c r="F62">
        <v>0</v>
      </c>
      <c r="H62" t="s">
        <v>87</v>
      </c>
      <c r="J62">
        <v>1</v>
      </c>
      <c r="N62">
        <v>600</v>
      </c>
      <c r="P62">
        <f>6*120</f>
        <v>720</v>
      </c>
    </row>
    <row r="63" spans="1:16" x14ac:dyDescent="0.25">
      <c r="A63" t="s">
        <v>86</v>
      </c>
      <c r="C63">
        <v>12</v>
      </c>
      <c r="D63" t="s">
        <v>85</v>
      </c>
      <c r="F63">
        <v>7</v>
      </c>
      <c r="H63" t="s">
        <v>84</v>
      </c>
      <c r="J63">
        <v>18</v>
      </c>
      <c r="N63">
        <v>150</v>
      </c>
      <c r="P63" t="s">
        <v>83</v>
      </c>
    </row>
    <row r="64" spans="1:16" x14ac:dyDescent="0.25">
      <c r="A64" t="s">
        <v>82</v>
      </c>
      <c r="C64">
        <v>10</v>
      </c>
      <c r="D64" t="s">
        <v>81</v>
      </c>
      <c r="F64">
        <v>3</v>
      </c>
      <c r="H64" t="s">
        <v>80</v>
      </c>
      <c r="J64">
        <v>0</v>
      </c>
      <c r="N64">
        <v>48</v>
      </c>
      <c r="P64" t="s">
        <v>79</v>
      </c>
    </row>
    <row r="65" spans="1:16" x14ac:dyDescent="0.25">
      <c r="A65" t="s">
        <v>78</v>
      </c>
      <c r="C65">
        <v>304</v>
      </c>
      <c r="D65" t="s">
        <v>77</v>
      </c>
      <c r="F65">
        <v>380</v>
      </c>
      <c r="H65" t="s">
        <v>76</v>
      </c>
      <c r="J65">
        <v>304</v>
      </c>
      <c r="N65">
        <v>720</v>
      </c>
      <c r="P65">
        <f>6*16</f>
        <v>96</v>
      </c>
    </row>
    <row r="66" spans="1:16" x14ac:dyDescent="0.25">
      <c r="A66" t="s">
        <v>75</v>
      </c>
      <c r="C66">
        <v>0</v>
      </c>
      <c r="D66" t="s">
        <v>75</v>
      </c>
      <c r="F66">
        <v>2</v>
      </c>
      <c r="H66" t="s">
        <v>75</v>
      </c>
      <c r="J66">
        <v>0</v>
      </c>
      <c r="N66">
        <v>96</v>
      </c>
      <c r="P66" t="s">
        <v>74</v>
      </c>
    </row>
    <row r="67" spans="1:16" x14ac:dyDescent="0.25">
      <c r="A67" t="s">
        <v>73</v>
      </c>
      <c r="C67">
        <v>10</v>
      </c>
      <c r="D67" t="s">
        <v>73</v>
      </c>
      <c r="F67">
        <v>10</v>
      </c>
      <c r="H67" t="s">
        <v>73</v>
      </c>
      <c r="J67">
        <v>10</v>
      </c>
      <c r="N67">
        <v>720</v>
      </c>
      <c r="P67" t="s">
        <v>72</v>
      </c>
    </row>
    <row r="68" spans="1:16" x14ac:dyDescent="0.25">
      <c r="A68" t="s">
        <v>66</v>
      </c>
      <c r="C68">
        <f>SUM(C60:C66)</f>
        <v>356</v>
      </c>
      <c r="D68" t="s">
        <v>66</v>
      </c>
      <c r="F68">
        <f>SUM(F60:F66)</f>
        <v>392</v>
      </c>
      <c r="H68" t="s">
        <v>71</v>
      </c>
      <c r="J68">
        <v>7</v>
      </c>
      <c r="N68">
        <v>420</v>
      </c>
      <c r="P68">
        <f>6*120</f>
        <v>720</v>
      </c>
    </row>
    <row r="69" spans="1:16" x14ac:dyDescent="0.25">
      <c r="A69" t="s">
        <v>64</v>
      </c>
      <c r="C69">
        <f>C68*C67</f>
        <v>3560</v>
      </c>
      <c r="D69" t="s">
        <v>64</v>
      </c>
      <c r="F69">
        <f>F68*F67</f>
        <v>3920</v>
      </c>
      <c r="H69" t="s">
        <v>70</v>
      </c>
      <c r="J69">
        <f>SUM(J61:J66)</f>
        <v>326</v>
      </c>
      <c r="N69">
        <v>50</v>
      </c>
      <c r="P69" t="s">
        <v>69</v>
      </c>
    </row>
    <row r="70" spans="1:16" x14ac:dyDescent="0.25">
      <c r="H70" t="s">
        <v>68</v>
      </c>
      <c r="J70">
        <f>J69*J68</f>
        <v>2282</v>
      </c>
      <c r="N70">
        <v>360</v>
      </c>
      <c r="P70" t="s">
        <v>67</v>
      </c>
    </row>
    <row r="71" spans="1:16" x14ac:dyDescent="0.25">
      <c r="H71" t="s">
        <v>66</v>
      </c>
      <c r="J71">
        <f>J70+J60</f>
        <v>2296</v>
      </c>
      <c r="K71" t="s">
        <v>65</v>
      </c>
      <c r="N71">
        <v>360</v>
      </c>
      <c r="P71">
        <f>7*60</f>
        <v>420</v>
      </c>
    </row>
    <row r="72" spans="1:16" x14ac:dyDescent="0.25">
      <c r="H72" t="s">
        <v>64</v>
      </c>
      <c r="J72">
        <f>J71*J67</f>
        <v>22960</v>
      </c>
      <c r="K72">
        <v>10480</v>
      </c>
      <c r="N72">
        <v>480</v>
      </c>
      <c r="P72" t="s">
        <v>63</v>
      </c>
    </row>
    <row r="73" spans="1:16" x14ac:dyDescent="0.25">
      <c r="H73" t="s">
        <v>203</v>
      </c>
      <c r="J73">
        <f>J72*6</f>
        <v>137760</v>
      </c>
      <c r="K73">
        <f>K72*6</f>
        <v>62880</v>
      </c>
      <c r="N73">
        <v>160</v>
      </c>
      <c r="P73">
        <v>50</v>
      </c>
    </row>
    <row r="74" spans="1:16" x14ac:dyDescent="0.25">
      <c r="N74">
        <v>405</v>
      </c>
      <c r="P74" t="s">
        <v>62</v>
      </c>
    </row>
    <row r="75" spans="1:16" x14ac:dyDescent="0.25">
      <c r="A75" t="s">
        <v>61</v>
      </c>
      <c r="N75">
        <f>SUM(N60:N74)</f>
        <v>11737</v>
      </c>
      <c r="P75">
        <v>360</v>
      </c>
    </row>
    <row r="76" spans="1:16" x14ac:dyDescent="0.25">
      <c r="A76">
        <v>11737</v>
      </c>
      <c r="P76" t="s">
        <v>60</v>
      </c>
    </row>
    <row r="77" spans="1:16" x14ac:dyDescent="0.25">
      <c r="A77" t="s">
        <v>59</v>
      </c>
      <c r="P77">
        <v>360</v>
      </c>
    </row>
    <row r="78" spans="1:16" x14ac:dyDescent="0.25">
      <c r="A78">
        <v>10480</v>
      </c>
      <c r="P78" t="s">
        <v>58</v>
      </c>
    </row>
    <row r="79" spans="1:16" x14ac:dyDescent="0.25">
      <c r="A79" t="s">
        <v>57</v>
      </c>
      <c r="P79" t="s">
        <v>56</v>
      </c>
    </row>
    <row r="80" spans="1:16" x14ac:dyDescent="0.25">
      <c r="A80">
        <f>A76*6</f>
        <v>70422</v>
      </c>
      <c r="P80">
        <f>3*160</f>
        <v>480</v>
      </c>
    </row>
    <row r="81" spans="5:16" x14ac:dyDescent="0.25">
      <c r="P81" t="s">
        <v>55</v>
      </c>
    </row>
    <row r="82" spans="5:16" x14ac:dyDescent="0.25">
      <c r="P82">
        <v>160</v>
      </c>
    </row>
    <row r="83" spans="5:16" x14ac:dyDescent="0.25">
      <c r="P83" t="s">
        <v>54</v>
      </c>
    </row>
    <row r="84" spans="5:16" x14ac:dyDescent="0.25">
      <c r="P84" t="s">
        <v>53</v>
      </c>
    </row>
    <row r="85" spans="5:16" x14ac:dyDescent="0.25">
      <c r="P85" t="s">
        <v>52</v>
      </c>
    </row>
    <row r="86" spans="5:16" x14ac:dyDescent="0.25">
      <c r="P86" t="s">
        <v>51</v>
      </c>
    </row>
    <row r="87" spans="5:16" x14ac:dyDescent="0.25">
      <c r="E87">
        <f>(8+8)*10</f>
        <v>160</v>
      </c>
      <c r="F87">
        <f>(8+16)*10</f>
        <v>240</v>
      </c>
      <c r="G87">
        <f>(8+24)*10</f>
        <v>320</v>
      </c>
      <c r="H87">
        <f>(8+32)*10</f>
        <v>400</v>
      </c>
      <c r="I87">
        <f>(8+40)*10</f>
        <v>480</v>
      </c>
      <c r="J87">
        <f>(8+48)*10</f>
        <v>560</v>
      </c>
      <c r="P87" t="s">
        <v>50</v>
      </c>
    </row>
    <row r="88" spans="5:16" x14ac:dyDescent="0.25">
      <c r="E88">
        <f>(5+6+10+2+8)*10</f>
        <v>310</v>
      </c>
      <c r="F88">
        <f>(5+6+10+2+16)*10</f>
        <v>390</v>
      </c>
      <c r="G88">
        <f>(5+6+10+2+24)*10</f>
        <v>470</v>
      </c>
      <c r="H88">
        <f>(5+6+10+2+32)*10</f>
        <v>550</v>
      </c>
      <c r="I88">
        <f>(5+6+10+2+40)*10</f>
        <v>630</v>
      </c>
      <c r="J88">
        <f>(5+6+10+2+48)*10</f>
        <v>710</v>
      </c>
      <c r="P88">
        <v>101</v>
      </c>
    </row>
    <row r="89" spans="5:16" x14ac:dyDescent="0.25">
      <c r="E89">
        <f t="shared" ref="E89:J89" si="0">E87/E88</f>
        <v>0.5161290322580645</v>
      </c>
      <c r="F89">
        <f t="shared" si="0"/>
        <v>0.61538461538461542</v>
      </c>
      <c r="G89">
        <f t="shared" si="0"/>
        <v>0.68085106382978722</v>
      </c>
      <c r="H89">
        <f t="shared" si="0"/>
        <v>0.72727272727272729</v>
      </c>
      <c r="I89">
        <f t="shared" si="0"/>
        <v>0.76190476190476186</v>
      </c>
      <c r="J89">
        <f t="shared" si="0"/>
        <v>0.78873239436619713</v>
      </c>
    </row>
    <row r="90" spans="5:16" x14ac:dyDescent="0.25">
      <c r="E90">
        <f t="shared" ref="E90:J90" si="1">E88/E87</f>
        <v>1.9375</v>
      </c>
      <c r="F90">
        <f t="shared" si="1"/>
        <v>1.625</v>
      </c>
      <c r="G90">
        <f t="shared" si="1"/>
        <v>1.46875</v>
      </c>
      <c r="H90">
        <f t="shared" si="1"/>
        <v>1.375</v>
      </c>
      <c r="I90">
        <f t="shared" si="1"/>
        <v>1.3125</v>
      </c>
      <c r="J90">
        <f t="shared" si="1"/>
        <v>1.2678571428571428</v>
      </c>
    </row>
    <row r="92" spans="5:16" x14ac:dyDescent="0.25">
      <c r="F92">
        <f>(20+20*8)/2</f>
        <v>90</v>
      </c>
      <c r="G92">
        <f>(20+20*10)/2</f>
        <v>110</v>
      </c>
    </row>
    <row r="93" spans="5:16" x14ac:dyDescent="0.25">
      <c r="F93">
        <v>64</v>
      </c>
      <c r="I93">
        <f>64+45</f>
        <v>109</v>
      </c>
    </row>
    <row r="95" spans="5:16" x14ac:dyDescent="0.25">
      <c r="E95">
        <f>(3.5+6+10+3+13+8+12)*10+(8+8*12)*4*4</f>
        <v>2219</v>
      </c>
    </row>
    <row r="96" spans="5:16" x14ac:dyDescent="0.25">
      <c r="E96">
        <f>(8+24)*10*4</f>
        <v>1280</v>
      </c>
      <c r="H96">
        <f>(3.5+6+10+8+3+13)</f>
        <v>43.5</v>
      </c>
    </row>
    <row r="99" spans="4:18" x14ac:dyDescent="0.25">
      <c r="E99" t="s">
        <v>222</v>
      </c>
      <c r="N99" t="s">
        <v>793</v>
      </c>
    </row>
    <row r="100" spans="4:18" x14ac:dyDescent="0.25">
      <c r="R100" t="s">
        <v>794</v>
      </c>
    </row>
    <row r="101" spans="4:18" x14ac:dyDescent="0.25">
      <c r="F101" t="s">
        <v>213</v>
      </c>
      <c r="H101" t="s">
        <v>294</v>
      </c>
      <c r="J101" t="s">
        <v>214</v>
      </c>
      <c r="L101" t="s">
        <v>215</v>
      </c>
      <c r="Q101" t="s">
        <v>228</v>
      </c>
    </row>
    <row r="102" spans="4:18" x14ac:dyDescent="0.25">
      <c r="E102" t="s">
        <v>212</v>
      </c>
      <c r="F102">
        <f>(8+8)*10*4</f>
        <v>640</v>
      </c>
      <c r="H102">
        <f>(8+4)*10*4+(3.5+6+10+3+8+13+4)*10</f>
        <v>955</v>
      </c>
      <c r="J102">
        <f>(8+8)*10*3+(3.5+6+10+3+8+13+8)*10</f>
        <v>995</v>
      </c>
      <c r="L102">
        <f>(8+8)*10*3+(4.5+2+3+8+7+8)*10</f>
        <v>805</v>
      </c>
      <c r="O102" t="s">
        <v>787</v>
      </c>
      <c r="Q102">
        <f>2+3+3</f>
        <v>8</v>
      </c>
      <c r="R102">
        <f t="shared" ref="R102:R108" si="2">Q102*60</f>
        <v>480</v>
      </c>
    </row>
    <row r="103" spans="4:18" x14ac:dyDescent="0.25">
      <c r="D103">
        <v>8</v>
      </c>
      <c r="E103" t="s">
        <v>211</v>
      </c>
      <c r="F103">
        <f>(8+16)*10*4</f>
        <v>960</v>
      </c>
      <c r="H103">
        <f>(8+8)*10*4+(3.5+6+10+3+8+13+8)*10</f>
        <v>1155</v>
      </c>
      <c r="J103">
        <f>(8+16)*10*3+(3.5+6+10+3+8+13+16)*10</f>
        <v>1315</v>
      </c>
      <c r="L103">
        <f>(8+16)*10*3+(4.5+2+3+8+7+16)*10</f>
        <v>1125</v>
      </c>
      <c r="N103" t="s">
        <v>660</v>
      </c>
      <c r="O103">
        <f>2*6</f>
        <v>12</v>
      </c>
      <c r="P103" t="s">
        <v>227</v>
      </c>
      <c r="Q103">
        <f t="shared" ref="Q103:Q108" si="3">Q102+4*O103</f>
        <v>56</v>
      </c>
      <c r="R103">
        <f t="shared" si="2"/>
        <v>3360</v>
      </c>
    </row>
    <row r="104" spans="4:18" x14ac:dyDescent="0.25">
      <c r="D104">
        <v>16</v>
      </c>
      <c r="E104" t="s">
        <v>210</v>
      </c>
      <c r="F104">
        <f>(8+24)*10*4</f>
        <v>1280</v>
      </c>
      <c r="H104">
        <f>(8+12)*10*4+(3.5+6+10+3+8+13+12)*10</f>
        <v>1355</v>
      </c>
      <c r="J104">
        <f>(8+24)*10*3+(3.5+6+10+3+8+13+24)*10</f>
        <v>1635</v>
      </c>
      <c r="L104">
        <f>(8+24)*10*3+(4.5+2+3+8+7+24)*10</f>
        <v>1445</v>
      </c>
      <c r="N104" t="s">
        <v>788</v>
      </c>
      <c r="O104">
        <f>O103*2</f>
        <v>24</v>
      </c>
      <c r="P104" t="s">
        <v>227</v>
      </c>
      <c r="Q104">
        <f t="shared" si="3"/>
        <v>152</v>
      </c>
      <c r="R104">
        <f t="shared" si="2"/>
        <v>9120</v>
      </c>
    </row>
    <row r="105" spans="4:18" x14ac:dyDescent="0.25">
      <c r="D105">
        <v>24</v>
      </c>
      <c r="E105" t="s">
        <v>209</v>
      </c>
      <c r="F105">
        <f>(8+32)*10*4</f>
        <v>1600</v>
      </c>
      <c r="H105">
        <f>(8+16)*10*4+(3.5+6+10+3+8+13+16)*10</f>
        <v>1555</v>
      </c>
      <c r="J105">
        <f>(8+32)*10*3+(3.5+6+10+3+8+13+32)*10</f>
        <v>1955</v>
      </c>
      <c r="L105">
        <f>(8+32)*10*3+(4.5+2+3+8+7+32)*10</f>
        <v>1765</v>
      </c>
      <c r="N105" t="s">
        <v>789</v>
      </c>
      <c r="O105">
        <f>O103*3</f>
        <v>36</v>
      </c>
      <c r="P105" t="s">
        <v>227</v>
      </c>
      <c r="Q105">
        <f t="shared" si="3"/>
        <v>296</v>
      </c>
      <c r="R105">
        <f t="shared" si="2"/>
        <v>17760</v>
      </c>
    </row>
    <row r="106" spans="4:18" x14ac:dyDescent="0.25">
      <c r="D106">
        <f>14*4</f>
        <v>56</v>
      </c>
      <c r="E106" t="s">
        <v>219</v>
      </c>
      <c r="F106">
        <f>(8+56)*10*4</f>
        <v>2560</v>
      </c>
      <c r="H106">
        <f>(8+28)*10*4+(3.5+6+10+3+8+13+28)*10</f>
        <v>2155</v>
      </c>
      <c r="J106">
        <f>(8+56)*10*3+(3.5+6+10+3+8+13+56)*10</f>
        <v>2915</v>
      </c>
      <c r="L106">
        <f>(8+64)*10*3+(4.5+2+3+8+7+64)*10</f>
        <v>3045</v>
      </c>
      <c r="N106" t="s">
        <v>790</v>
      </c>
      <c r="O106">
        <f>O103*4</f>
        <v>48</v>
      </c>
      <c r="P106" t="s">
        <v>227</v>
      </c>
      <c r="Q106">
        <f t="shared" si="3"/>
        <v>488</v>
      </c>
      <c r="R106">
        <f t="shared" si="2"/>
        <v>29280</v>
      </c>
    </row>
    <row r="107" spans="4:18" x14ac:dyDescent="0.25">
      <c r="D107">
        <f>20*4</f>
        <v>80</v>
      </c>
      <c r="E107" t="s">
        <v>220</v>
      </c>
      <c r="F107">
        <f>(8+80)*10*4</f>
        <v>3520</v>
      </c>
      <c r="J107">
        <f>(8+80)*10*3+(3.5+6+10+3+8+13+80)*10</f>
        <v>3875</v>
      </c>
      <c r="L107">
        <f>(8+96)*10*3+(4.5+2+3+8+7+96)*10</f>
        <v>4325</v>
      </c>
      <c r="N107" t="s">
        <v>791</v>
      </c>
      <c r="O107">
        <f>O103*5</f>
        <v>60</v>
      </c>
      <c r="P107" t="s">
        <v>227</v>
      </c>
      <c r="Q107">
        <f t="shared" si="3"/>
        <v>728</v>
      </c>
      <c r="R107">
        <f t="shared" si="2"/>
        <v>43680</v>
      </c>
    </row>
    <row r="108" spans="4:18" x14ac:dyDescent="0.25">
      <c r="D108">
        <f>32*4</f>
        <v>128</v>
      </c>
      <c r="E108" t="s">
        <v>221</v>
      </c>
      <c r="F108">
        <f>(8+128)*10*4</f>
        <v>5440</v>
      </c>
      <c r="H108">
        <f>(8+64)*10*4+(3.5+6+10+3+8+13+64)*10</f>
        <v>3955</v>
      </c>
      <c r="J108">
        <f>(8+128)*10*3+(3.5+6+10+3+8+13+128)*10</f>
        <v>5795</v>
      </c>
      <c r="L108">
        <f>(8+128)*10*3+(4.5+2+3+8+7+128)*10</f>
        <v>5605</v>
      </c>
      <c r="N108" t="s">
        <v>792</v>
      </c>
      <c r="O108">
        <f>O103*6</f>
        <v>72</v>
      </c>
      <c r="P108" t="s">
        <v>227</v>
      </c>
      <c r="Q108">
        <f t="shared" si="3"/>
        <v>1016</v>
      </c>
      <c r="R108">
        <f t="shared" si="2"/>
        <v>60960</v>
      </c>
    </row>
    <row r="110" spans="4:18" x14ac:dyDescent="0.25">
      <c r="F110" t="s">
        <v>218</v>
      </c>
      <c r="H110" t="s">
        <v>217</v>
      </c>
      <c r="J110" t="s">
        <v>217</v>
      </c>
      <c r="L110" t="s">
        <v>216</v>
      </c>
    </row>
    <row r="112" spans="4:18" x14ac:dyDescent="0.25">
      <c r="E112" t="s">
        <v>237</v>
      </c>
    </row>
    <row r="113" spans="5:29" x14ac:dyDescent="0.25">
      <c r="E113" t="s">
        <v>212</v>
      </c>
      <c r="F113">
        <v>8</v>
      </c>
    </row>
    <row r="114" spans="5:29" x14ac:dyDescent="0.25">
      <c r="E114" t="s">
        <v>223</v>
      </c>
      <c r="F114">
        <v>18</v>
      </c>
      <c r="V114" t="s">
        <v>797</v>
      </c>
    </row>
    <row r="115" spans="5:29" x14ac:dyDescent="0.25">
      <c r="E115" t="s">
        <v>224</v>
      </c>
      <c r="F115">
        <v>18</v>
      </c>
      <c r="N115" t="s">
        <v>819</v>
      </c>
      <c r="P115" t="s">
        <v>819</v>
      </c>
      <c r="Q115" t="s">
        <v>797</v>
      </c>
      <c r="R115" t="s">
        <v>819</v>
      </c>
      <c r="S115" t="s">
        <v>797</v>
      </c>
      <c r="V115" t="s">
        <v>825</v>
      </c>
      <c r="W115" t="s">
        <v>826</v>
      </c>
      <c r="X115" t="s">
        <v>828</v>
      </c>
      <c r="Y115" t="s">
        <v>829</v>
      </c>
    </row>
    <row r="116" spans="5:29" x14ac:dyDescent="0.25">
      <c r="E116" t="s">
        <v>227</v>
      </c>
      <c r="F116">
        <v>4</v>
      </c>
      <c r="N116">
        <f>3.5+10+3+3</f>
        <v>19.5</v>
      </c>
      <c r="O116" t="s">
        <v>212</v>
      </c>
      <c r="P116">
        <v>8.5</v>
      </c>
      <c r="Q116">
        <v>7</v>
      </c>
      <c r="R116">
        <v>13</v>
      </c>
      <c r="S116">
        <v>9</v>
      </c>
      <c r="U116" t="s">
        <v>212</v>
      </c>
      <c r="V116">
        <f>4.5+4</f>
        <v>8.5</v>
      </c>
      <c r="W116">
        <f>3.5+1</f>
        <v>4.5</v>
      </c>
      <c r="X116">
        <f>2+5</f>
        <v>7</v>
      </c>
      <c r="Y116">
        <f>4.5+1</f>
        <v>5.5</v>
      </c>
    </row>
    <row r="117" spans="5:29" x14ac:dyDescent="0.25">
      <c r="E117" t="s">
        <v>228</v>
      </c>
      <c r="F117">
        <f>F113+(F114*F116)+(F115*F116)</f>
        <v>152</v>
      </c>
      <c r="O117" t="s">
        <v>820</v>
      </c>
      <c r="P117">
        <v>6.5</v>
      </c>
      <c r="Q117">
        <v>0</v>
      </c>
      <c r="R117">
        <v>10</v>
      </c>
      <c r="S117">
        <v>0</v>
      </c>
      <c r="U117" t="s">
        <v>827</v>
      </c>
      <c r="V117">
        <v>3</v>
      </c>
      <c r="W117">
        <v>3</v>
      </c>
      <c r="X117">
        <v>3</v>
      </c>
      <c r="Y117">
        <v>3</v>
      </c>
    </row>
    <row r="118" spans="5:29" x14ac:dyDescent="0.25">
      <c r="E118" t="s">
        <v>225</v>
      </c>
      <c r="F118">
        <v>6</v>
      </c>
      <c r="O118" t="s">
        <v>91</v>
      </c>
      <c r="P118">
        <v>3</v>
      </c>
      <c r="Q118">
        <v>3</v>
      </c>
      <c r="R118">
        <v>3</v>
      </c>
      <c r="S118">
        <v>3</v>
      </c>
      <c r="U118" t="s">
        <v>818</v>
      </c>
      <c r="V118">
        <v>4</v>
      </c>
      <c r="W118">
        <v>4</v>
      </c>
      <c r="X118">
        <v>6</v>
      </c>
      <c r="Y118">
        <v>4</v>
      </c>
    </row>
    <row r="119" spans="5:29" x14ac:dyDescent="0.25">
      <c r="E119" t="s">
        <v>229</v>
      </c>
      <c r="F119">
        <v>2</v>
      </c>
      <c r="N119">
        <v>6</v>
      </c>
      <c r="O119" t="s">
        <v>818</v>
      </c>
      <c r="P119">
        <v>5</v>
      </c>
      <c r="Q119">
        <v>5</v>
      </c>
      <c r="R119">
        <v>5</v>
      </c>
      <c r="S119">
        <v>5</v>
      </c>
      <c r="U119" t="s">
        <v>233</v>
      </c>
      <c r="V119">
        <v>2</v>
      </c>
      <c r="W119">
        <v>0</v>
      </c>
      <c r="X119">
        <v>0</v>
      </c>
      <c r="Y119">
        <v>0</v>
      </c>
    </row>
    <row r="120" spans="5:29" x14ac:dyDescent="0.25">
      <c r="E120" t="s">
        <v>230</v>
      </c>
      <c r="F120">
        <v>4</v>
      </c>
      <c r="N120">
        <v>9</v>
      </c>
      <c r="O120" t="s">
        <v>155</v>
      </c>
      <c r="P120">
        <v>7</v>
      </c>
      <c r="Q120">
        <v>0</v>
      </c>
      <c r="R120">
        <v>7</v>
      </c>
      <c r="S120">
        <v>0</v>
      </c>
      <c r="U120" t="s">
        <v>509</v>
      </c>
      <c r="V120">
        <v>3</v>
      </c>
      <c r="W120">
        <v>5</v>
      </c>
      <c r="X120">
        <v>5</v>
      </c>
      <c r="Y120">
        <v>4</v>
      </c>
    </row>
    <row r="121" spans="5:29" x14ac:dyDescent="0.25">
      <c r="E121" t="s">
        <v>73</v>
      </c>
      <c r="F121">
        <v>10</v>
      </c>
      <c r="N121">
        <v>10</v>
      </c>
      <c r="O121" t="s">
        <v>509</v>
      </c>
      <c r="P121">
        <v>4</v>
      </c>
      <c r="Q121">
        <v>5</v>
      </c>
      <c r="R121">
        <v>4</v>
      </c>
      <c r="S121">
        <v>5</v>
      </c>
      <c r="V121">
        <f>(V116+V117+V118+V119)*V120</f>
        <v>52.5</v>
      </c>
      <c r="W121">
        <f>(W116+W117+W118+W119)*W120</f>
        <v>57.5</v>
      </c>
      <c r="X121">
        <f>(X116+X117+X118+X119)*X120</f>
        <v>80</v>
      </c>
      <c r="Y121">
        <f>(Y116+Y117+Y118+Y119)*Y120</f>
        <v>50</v>
      </c>
    </row>
    <row r="122" spans="5:29" x14ac:dyDescent="0.25">
      <c r="E122" t="s">
        <v>231</v>
      </c>
      <c r="F122">
        <f>(F118+F119+F120)*F121*F117</f>
        <v>18240</v>
      </c>
      <c r="N122">
        <f>(N116+N118+N119+N120)*N121+(N117+N119+N120)</f>
        <v>360</v>
      </c>
      <c r="O122" t="s">
        <v>231</v>
      </c>
      <c r="P122">
        <f>(P116+P118+P119+P120)*P121+(P117+P119+P120)</f>
        <v>112.5</v>
      </c>
      <c r="Q122">
        <f>(Q116+Q118+Q119)*Q121</f>
        <v>75</v>
      </c>
      <c r="R122">
        <f>(R116+R118+R119+R120)*R121+(R117+R119+R120)</f>
        <v>134</v>
      </c>
      <c r="S122">
        <f>(S116+S118+S119)*S121</f>
        <v>85</v>
      </c>
    </row>
    <row r="123" spans="5:29" x14ac:dyDescent="0.25">
      <c r="V123" t="s">
        <v>1078</v>
      </c>
      <c r="W123" t="s">
        <v>797</v>
      </c>
    </row>
    <row r="124" spans="5:29" x14ac:dyDescent="0.25">
      <c r="E124" t="s">
        <v>234</v>
      </c>
      <c r="G124" t="s">
        <v>293</v>
      </c>
      <c r="H124" t="s">
        <v>235</v>
      </c>
      <c r="K124" t="s">
        <v>236</v>
      </c>
      <c r="P124">
        <f>P122/Q122</f>
        <v>1.5</v>
      </c>
      <c r="R124">
        <f>R122/S122</f>
        <v>1.5764705882352941</v>
      </c>
      <c r="W124" t="s">
        <v>825</v>
      </c>
      <c r="X124" t="s">
        <v>826</v>
      </c>
      <c r="Y124" t="s">
        <v>828</v>
      </c>
      <c r="Z124" t="s">
        <v>829</v>
      </c>
      <c r="AB124" t="s">
        <v>1094</v>
      </c>
    </row>
    <row r="125" spans="5:29" x14ac:dyDescent="0.25">
      <c r="E125" t="s">
        <v>212</v>
      </c>
      <c r="F125">
        <f>3.5+1</f>
        <v>4.5</v>
      </c>
      <c r="G125">
        <f>3.5+1</f>
        <v>4.5</v>
      </c>
      <c r="H125" t="s">
        <v>212</v>
      </c>
      <c r="I125">
        <v>3.5</v>
      </c>
      <c r="K125" t="s">
        <v>212</v>
      </c>
      <c r="L125">
        <v>6</v>
      </c>
      <c r="U125" t="s">
        <v>212</v>
      </c>
      <c r="V125">
        <f>5.5+3</f>
        <v>8.5</v>
      </c>
      <c r="W125">
        <f>4.5+4+2</f>
        <v>10.5</v>
      </c>
      <c r="X125">
        <f>3.5+1</f>
        <v>4.5</v>
      </c>
      <c r="Y125">
        <f>2+5</f>
        <v>7</v>
      </c>
      <c r="Z125">
        <f>4.5+1</f>
        <v>5.5</v>
      </c>
      <c r="AA125">
        <f>2.5+2+9+2+1</f>
        <v>16.5</v>
      </c>
      <c r="AB125">
        <f>3.5+2+4.5</f>
        <v>10</v>
      </c>
    </row>
    <row r="126" spans="5:29" x14ac:dyDescent="0.25">
      <c r="E126" t="s">
        <v>232</v>
      </c>
      <c r="F126">
        <v>5</v>
      </c>
      <c r="G126">
        <v>2</v>
      </c>
      <c r="H126" t="s">
        <v>232</v>
      </c>
      <c r="I126">
        <v>6</v>
      </c>
      <c r="K126" t="s">
        <v>232</v>
      </c>
      <c r="L126">
        <v>6</v>
      </c>
      <c r="O126" t="s">
        <v>822</v>
      </c>
      <c r="P126">
        <v>6</v>
      </c>
      <c r="Q126">
        <v>6</v>
      </c>
      <c r="U126" t="s">
        <v>820</v>
      </c>
      <c r="V126">
        <v>6.5</v>
      </c>
      <c r="W126">
        <v>0</v>
      </c>
      <c r="X126">
        <v>0</v>
      </c>
      <c r="Y126">
        <v>0</v>
      </c>
      <c r="Z126">
        <v>0</v>
      </c>
      <c r="AA126">
        <v>0</v>
      </c>
      <c r="AB126">
        <v>0</v>
      </c>
    </row>
    <row r="127" spans="5:29" x14ac:dyDescent="0.25">
      <c r="E127" t="s">
        <v>176</v>
      </c>
      <c r="F127">
        <v>0</v>
      </c>
      <c r="G127">
        <v>0</v>
      </c>
      <c r="H127" t="s">
        <v>176</v>
      </c>
      <c r="I127">
        <f>(3.5+5)*3</f>
        <v>25.5</v>
      </c>
      <c r="K127" t="s">
        <v>176</v>
      </c>
      <c r="L127">
        <f>11*3</f>
        <v>33</v>
      </c>
      <c r="O127" t="s">
        <v>212</v>
      </c>
      <c r="P127">
        <v>3</v>
      </c>
      <c r="Q127">
        <v>5</v>
      </c>
      <c r="T127">
        <f>13/20</f>
        <v>0.65</v>
      </c>
      <c r="U127" t="s">
        <v>91</v>
      </c>
      <c r="V127">
        <v>3</v>
      </c>
      <c r="W127">
        <v>3</v>
      </c>
      <c r="X127">
        <v>3</v>
      </c>
      <c r="Y127">
        <v>2</v>
      </c>
      <c r="Z127">
        <v>3</v>
      </c>
      <c r="AA127">
        <v>3</v>
      </c>
      <c r="AB127">
        <v>3</v>
      </c>
    </row>
    <row r="128" spans="5:29" x14ac:dyDescent="0.25">
      <c r="E128" t="s">
        <v>91</v>
      </c>
      <c r="F128">
        <v>3</v>
      </c>
      <c r="G128">
        <v>3</v>
      </c>
      <c r="H128" t="s">
        <v>91</v>
      </c>
      <c r="I128">
        <v>4</v>
      </c>
      <c r="K128" t="s">
        <v>91</v>
      </c>
      <c r="L128">
        <v>4</v>
      </c>
      <c r="O128" t="s">
        <v>820</v>
      </c>
      <c r="P128">
        <f>2-2</f>
        <v>0</v>
      </c>
      <c r="Q128">
        <v>0</v>
      </c>
      <c r="U128" t="s">
        <v>818</v>
      </c>
      <c r="V128">
        <v>0</v>
      </c>
      <c r="W128">
        <v>4</v>
      </c>
      <c r="X128">
        <v>8</v>
      </c>
      <c r="Y128">
        <v>10</v>
      </c>
      <c r="Z128">
        <v>4</v>
      </c>
      <c r="AA128">
        <v>6</v>
      </c>
      <c r="AB128">
        <v>10</v>
      </c>
      <c r="AC128">
        <f>4.5+4+2+6+3</f>
        <v>19.5</v>
      </c>
    </row>
    <row r="129" spans="5:28" x14ac:dyDescent="0.25">
      <c r="E129" t="s">
        <v>155</v>
      </c>
      <c r="F129">
        <v>14</v>
      </c>
      <c r="G129">
        <v>14</v>
      </c>
      <c r="H129" t="s">
        <v>155</v>
      </c>
      <c r="I129">
        <v>14</v>
      </c>
      <c r="K129" t="s">
        <v>155</v>
      </c>
      <c r="L129">
        <v>14</v>
      </c>
      <c r="O129" t="s">
        <v>91</v>
      </c>
      <c r="P129">
        <v>3</v>
      </c>
      <c r="Q129">
        <v>3</v>
      </c>
      <c r="U129" t="s">
        <v>155</v>
      </c>
      <c r="V129">
        <v>7</v>
      </c>
      <c r="W129">
        <v>0</v>
      </c>
      <c r="X129">
        <v>0</v>
      </c>
      <c r="Y129">
        <v>0</v>
      </c>
      <c r="Z129">
        <v>0</v>
      </c>
      <c r="AA129">
        <v>0</v>
      </c>
      <c r="AB129">
        <v>0</v>
      </c>
    </row>
    <row r="130" spans="5:28" x14ac:dyDescent="0.25">
      <c r="E130" t="s">
        <v>88</v>
      </c>
      <c r="F130">
        <v>13</v>
      </c>
      <c r="G130">
        <v>6</v>
      </c>
      <c r="H130" t="s">
        <v>88</v>
      </c>
      <c r="I130">
        <v>13</v>
      </c>
      <c r="K130" t="s">
        <v>88</v>
      </c>
      <c r="L130">
        <v>13</v>
      </c>
      <c r="O130" t="s">
        <v>818</v>
      </c>
      <c r="P130">
        <v>5</v>
      </c>
      <c r="Q130">
        <v>5</v>
      </c>
      <c r="U130" t="s">
        <v>509</v>
      </c>
      <c r="V130">
        <v>4</v>
      </c>
      <c r="W130">
        <v>3</v>
      </c>
      <c r="X130">
        <v>5</v>
      </c>
      <c r="Y130">
        <v>5</v>
      </c>
      <c r="Z130">
        <v>4</v>
      </c>
      <c r="AA130">
        <v>3</v>
      </c>
      <c r="AB130">
        <v>4</v>
      </c>
    </row>
    <row r="131" spans="5:28" x14ac:dyDescent="0.25">
      <c r="E131" t="s">
        <v>233</v>
      </c>
      <c r="F131">
        <v>10</v>
      </c>
      <c r="G131">
        <v>0</v>
      </c>
      <c r="H131" t="s">
        <v>233</v>
      </c>
      <c r="I131">
        <v>0</v>
      </c>
      <c r="K131" t="s">
        <v>233</v>
      </c>
      <c r="L131">
        <v>0</v>
      </c>
      <c r="O131" t="s">
        <v>823</v>
      </c>
      <c r="P131">
        <v>4</v>
      </c>
      <c r="Q131">
        <v>2</v>
      </c>
      <c r="U131" t="s">
        <v>231</v>
      </c>
      <c r="V131">
        <f>(V125+V127+V128+V129)*V130+(V126+V128+V129)</f>
        <v>87.5</v>
      </c>
      <c r="W131">
        <f>(W125+W127+W128+W129)*W130+(W126+W128+W129)</f>
        <v>56.5</v>
      </c>
      <c r="X131">
        <f>(X125+X127+X128+X129)*X130+(X126+X128+X129)</f>
        <v>85.5</v>
      </c>
      <c r="Y131">
        <f>(Y125+Y127+Y128)*Y130</f>
        <v>95</v>
      </c>
      <c r="Z131">
        <f>(Z125+Z127+Z128)*Z130</f>
        <v>50</v>
      </c>
      <c r="AA131">
        <f>(AA125+AA127+AA128)*AA130</f>
        <v>76.5</v>
      </c>
      <c r="AB131">
        <f>(AB125+AB127+AB128)*AB130</f>
        <v>92</v>
      </c>
    </row>
    <row r="132" spans="5:28" x14ac:dyDescent="0.25">
      <c r="E132" t="s">
        <v>228</v>
      </c>
      <c r="F132">
        <f>SUM(F125:F131)</f>
        <v>49.5</v>
      </c>
      <c r="G132">
        <f>SUM(G125:G131)</f>
        <v>29.5</v>
      </c>
      <c r="H132" t="s">
        <v>228</v>
      </c>
      <c r="I132">
        <f>SUM(I125:I131)</f>
        <v>66</v>
      </c>
      <c r="K132" t="s">
        <v>228</v>
      </c>
      <c r="L132">
        <f>SUM(L125:L131)</f>
        <v>76</v>
      </c>
      <c r="O132" t="s">
        <v>824</v>
      </c>
      <c r="P132">
        <v>0</v>
      </c>
      <c r="Q132">
        <v>2</v>
      </c>
      <c r="Y132">
        <f>Y131/Y130</f>
        <v>19</v>
      </c>
    </row>
    <row r="133" spans="5:28" x14ac:dyDescent="0.25">
      <c r="E133" t="s">
        <v>73</v>
      </c>
      <c r="F133">
        <v>8</v>
      </c>
      <c r="H133" t="s">
        <v>73</v>
      </c>
      <c r="I133">
        <v>10</v>
      </c>
      <c r="K133" t="s">
        <v>73</v>
      </c>
      <c r="L133">
        <v>10</v>
      </c>
      <c r="O133" t="s">
        <v>821</v>
      </c>
      <c r="P133">
        <f>((P126-P127-P129-P130-P131)*3+(P126-P129-P130-P131))/4</f>
        <v>-8.25</v>
      </c>
      <c r="Q133">
        <f>Q126-Q127-Q129-Q130-Q131-Q132</f>
        <v>-11</v>
      </c>
    </row>
    <row r="134" spans="5:28" x14ac:dyDescent="0.25">
      <c r="E134" t="s">
        <v>225</v>
      </c>
      <c r="F134">
        <v>6</v>
      </c>
      <c r="H134" t="s">
        <v>225</v>
      </c>
      <c r="I134">
        <v>6</v>
      </c>
      <c r="K134" t="s">
        <v>225</v>
      </c>
      <c r="L134">
        <v>6</v>
      </c>
      <c r="T134">
        <f>170*4</f>
        <v>680</v>
      </c>
      <c r="Y134" t="s">
        <v>1191</v>
      </c>
      <c r="Z134" t="s">
        <v>1150</v>
      </c>
      <c r="AA134" t="s">
        <v>1150</v>
      </c>
    </row>
    <row r="135" spans="5:28" x14ac:dyDescent="0.25">
      <c r="E135" t="s">
        <v>231</v>
      </c>
      <c r="F135">
        <f>F132*F133*F134+6</f>
        <v>2382</v>
      </c>
      <c r="H135" t="s">
        <v>231</v>
      </c>
      <c r="I135">
        <f>I132*I133*I134</f>
        <v>3960</v>
      </c>
      <c r="K135" t="s">
        <v>231</v>
      </c>
      <c r="L135">
        <f>L132*L133*L134</f>
        <v>4560</v>
      </c>
      <c r="T135">
        <f>5.5+3+5</f>
        <v>13.5</v>
      </c>
      <c r="Y135" t="s">
        <v>1190</v>
      </c>
      <c r="AA135" t="s">
        <v>1018</v>
      </c>
    </row>
    <row r="136" spans="5:28" x14ac:dyDescent="0.25">
      <c r="T136">
        <f>T134/T135</f>
        <v>50.370370370370374</v>
      </c>
      <c r="U136">
        <v>5567</v>
      </c>
      <c r="Y136" t="s">
        <v>819</v>
      </c>
      <c r="Z136" t="s">
        <v>797</v>
      </c>
      <c r="AA136" t="s">
        <v>797</v>
      </c>
    </row>
    <row r="137" spans="5:28" x14ac:dyDescent="0.25">
      <c r="E137" t="s">
        <v>238</v>
      </c>
      <c r="U137">
        <v>4250</v>
      </c>
      <c r="X137" t="s">
        <v>212</v>
      </c>
      <c r="Y137">
        <v>13</v>
      </c>
      <c r="Z137">
        <f>3.5+1</f>
        <v>4.5</v>
      </c>
      <c r="AA137">
        <f>3.5+1</f>
        <v>4.5</v>
      </c>
    </row>
    <row r="138" spans="5:28" x14ac:dyDescent="0.25">
      <c r="E138" t="s">
        <v>241</v>
      </c>
      <c r="U138">
        <f>U136/U137</f>
        <v>1.3098823529411765</v>
      </c>
      <c r="V138">
        <f>21000*U138</f>
        <v>27507.529411764706</v>
      </c>
      <c r="X138" t="s">
        <v>820</v>
      </c>
      <c r="Y138">
        <v>10</v>
      </c>
      <c r="Z138">
        <v>0</v>
      </c>
      <c r="AA138">
        <v>0</v>
      </c>
    </row>
    <row r="139" spans="5:28" x14ac:dyDescent="0.25">
      <c r="X139" t="s">
        <v>91</v>
      </c>
      <c r="Y139">
        <v>3</v>
      </c>
      <c r="Z139">
        <v>3</v>
      </c>
      <c r="AA139">
        <v>3</v>
      </c>
    </row>
    <row r="140" spans="5:28" x14ac:dyDescent="0.25">
      <c r="E140" t="s">
        <v>243</v>
      </c>
      <c r="G140" t="s">
        <v>244</v>
      </c>
      <c r="X140" t="s">
        <v>818</v>
      </c>
      <c r="Y140">
        <v>5</v>
      </c>
      <c r="Z140">
        <v>5</v>
      </c>
      <c r="AA140">
        <v>3</v>
      </c>
    </row>
    <row r="141" spans="5:28" x14ac:dyDescent="0.25">
      <c r="E141" t="s">
        <v>239</v>
      </c>
      <c r="F141" s="3">
        <v>8</v>
      </c>
      <c r="G141">
        <v>8</v>
      </c>
      <c r="N141" t="s">
        <v>493</v>
      </c>
      <c r="X141" t="s">
        <v>155</v>
      </c>
      <c r="Y141">
        <v>9</v>
      </c>
      <c r="Z141">
        <v>0</v>
      </c>
      <c r="AA141">
        <v>0</v>
      </c>
    </row>
    <row r="142" spans="5:28" x14ac:dyDescent="0.25">
      <c r="E142" t="s">
        <v>240</v>
      </c>
      <c r="F142" s="3">
        <f>5*3*18</f>
        <v>270</v>
      </c>
      <c r="G142">
        <f>5*3*18</f>
        <v>270</v>
      </c>
      <c r="N142" t="s">
        <v>203</v>
      </c>
      <c r="O142" t="s">
        <v>212</v>
      </c>
      <c r="P142" t="s">
        <v>487</v>
      </c>
      <c r="Q142" t="s">
        <v>488</v>
      </c>
      <c r="X142" t="s">
        <v>509</v>
      </c>
      <c r="Y142">
        <v>4</v>
      </c>
      <c r="Z142">
        <v>5</v>
      </c>
      <c r="AA142">
        <v>5</v>
      </c>
    </row>
    <row r="143" spans="5:28" x14ac:dyDescent="0.25">
      <c r="E143" t="s">
        <v>224</v>
      </c>
      <c r="F143" s="3">
        <f>6*17</f>
        <v>102</v>
      </c>
      <c r="G143">
        <f>6*18</f>
        <v>108</v>
      </c>
      <c r="O143">
        <f t="shared" ref="O143:O172" si="4">0.88</f>
        <v>0.88</v>
      </c>
      <c r="P143">
        <v>1</v>
      </c>
      <c r="Q143">
        <f t="shared" ref="Q143:Q172" si="5">O143^P143*100</f>
        <v>88</v>
      </c>
      <c r="X143" t="s">
        <v>231</v>
      </c>
      <c r="Y143">
        <f>(Y137+Y139+Y140+Y141)*Y142+(Y138+Y140+Y141)</f>
        <v>144</v>
      </c>
      <c r="Z143">
        <f>(Z137+Z139+Z140)*Z142</f>
        <v>62.5</v>
      </c>
      <c r="AA143">
        <f>(AA137+AA139+AA140)*AA142</f>
        <v>52.5</v>
      </c>
    </row>
    <row r="144" spans="5:28" x14ac:dyDescent="0.25">
      <c r="E144" t="s">
        <v>242</v>
      </c>
      <c r="F144" s="3">
        <f>9*3</f>
        <v>27</v>
      </c>
      <c r="G144">
        <f>9*3</f>
        <v>27</v>
      </c>
      <c r="O144">
        <f t="shared" si="4"/>
        <v>0.88</v>
      </c>
      <c r="P144">
        <v>2</v>
      </c>
      <c r="Q144">
        <f t="shared" si="5"/>
        <v>77.44</v>
      </c>
    </row>
    <row r="145" spans="1:36" x14ac:dyDescent="0.25">
      <c r="E145" t="s">
        <v>227</v>
      </c>
      <c r="F145" s="3">
        <v>4</v>
      </c>
      <c r="G145">
        <v>4</v>
      </c>
      <c r="L145">
        <f>8*6*1048</f>
        <v>50304</v>
      </c>
      <c r="O145">
        <f t="shared" si="4"/>
        <v>0.88</v>
      </c>
      <c r="P145">
        <v>3</v>
      </c>
      <c r="Q145">
        <f t="shared" si="5"/>
        <v>68.147199999999998</v>
      </c>
      <c r="Y145" t="s">
        <v>250</v>
      </c>
    </row>
    <row r="146" spans="1:36" x14ac:dyDescent="0.25">
      <c r="E146" t="s">
        <v>225</v>
      </c>
      <c r="F146" s="3">
        <v>6</v>
      </c>
      <c r="G146">
        <v>6</v>
      </c>
      <c r="O146">
        <f t="shared" si="4"/>
        <v>0.88</v>
      </c>
      <c r="P146">
        <v>4</v>
      </c>
      <c r="Q146">
        <f t="shared" si="5"/>
        <v>59.969535999999998</v>
      </c>
      <c r="Y146" t="s">
        <v>819</v>
      </c>
      <c r="Z146" t="s">
        <v>828</v>
      </c>
    </row>
    <row r="147" spans="1:36" x14ac:dyDescent="0.25">
      <c r="E147" t="s">
        <v>226</v>
      </c>
      <c r="F147" s="3">
        <v>6</v>
      </c>
      <c r="G147">
        <v>6</v>
      </c>
      <c r="O147">
        <f t="shared" si="4"/>
        <v>0.88</v>
      </c>
      <c r="P147">
        <v>5</v>
      </c>
      <c r="Q147">
        <f t="shared" si="5"/>
        <v>52.773191679999996</v>
      </c>
      <c r="X147" t="s">
        <v>212</v>
      </c>
      <c r="Y147">
        <v>13</v>
      </c>
      <c r="Z147">
        <f>2+5</f>
        <v>7</v>
      </c>
      <c r="AA147">
        <f>2+5</f>
        <v>7</v>
      </c>
    </row>
    <row r="148" spans="1:36" x14ac:dyDescent="0.25">
      <c r="E148" t="s">
        <v>228</v>
      </c>
      <c r="F148" s="3">
        <f>F141+(F142*F145)+(F143*F145)+(F144*F145)</f>
        <v>1604</v>
      </c>
      <c r="G148">
        <v>1048</v>
      </c>
      <c r="N148" t="s">
        <v>489</v>
      </c>
      <c r="O148">
        <f t="shared" si="4"/>
        <v>0.88</v>
      </c>
      <c r="P148">
        <v>6</v>
      </c>
      <c r="Q148">
        <f t="shared" si="5"/>
        <v>46.440408678399997</v>
      </c>
      <c r="X148" t="s">
        <v>820</v>
      </c>
      <c r="Y148">
        <v>10</v>
      </c>
      <c r="Z148">
        <v>0</v>
      </c>
      <c r="AA148">
        <v>0</v>
      </c>
    </row>
    <row r="149" spans="1:36" x14ac:dyDescent="0.25">
      <c r="E149" t="s">
        <v>73</v>
      </c>
      <c r="F149" s="3">
        <v>120</v>
      </c>
      <c r="G149">
        <v>120</v>
      </c>
      <c r="O149">
        <f t="shared" si="4"/>
        <v>0.88</v>
      </c>
      <c r="P149">
        <v>7</v>
      </c>
      <c r="Q149">
        <f t="shared" si="5"/>
        <v>40.867559636991999</v>
      </c>
      <c r="X149" t="s">
        <v>91</v>
      </c>
      <c r="Y149">
        <v>3</v>
      </c>
      <c r="Z149">
        <v>3</v>
      </c>
      <c r="AA149">
        <v>3</v>
      </c>
    </row>
    <row r="150" spans="1:36" x14ac:dyDescent="0.25">
      <c r="E150" t="s">
        <v>231</v>
      </c>
      <c r="F150" s="3">
        <f>F148*F149</f>
        <v>192480</v>
      </c>
      <c r="G150">
        <f>1048*120</f>
        <v>125760</v>
      </c>
      <c r="O150">
        <f t="shared" si="4"/>
        <v>0.88</v>
      </c>
      <c r="P150">
        <v>8</v>
      </c>
      <c r="Q150">
        <f t="shared" si="5"/>
        <v>35.963452480552959</v>
      </c>
      <c r="X150" t="s">
        <v>818</v>
      </c>
      <c r="Y150">
        <v>6</v>
      </c>
      <c r="Z150">
        <v>6</v>
      </c>
      <c r="AA150">
        <v>4</v>
      </c>
    </row>
    <row r="151" spans="1:36" x14ac:dyDescent="0.25">
      <c r="O151">
        <f t="shared" si="4"/>
        <v>0.88</v>
      </c>
      <c r="P151">
        <v>9</v>
      </c>
      <c r="Q151">
        <f t="shared" si="5"/>
        <v>31.647838182886606</v>
      </c>
      <c r="W151" t="s">
        <v>1062</v>
      </c>
      <c r="X151" t="s">
        <v>155</v>
      </c>
      <c r="Y151">
        <v>12</v>
      </c>
      <c r="Z151">
        <v>2</v>
      </c>
      <c r="AA151">
        <v>0</v>
      </c>
    </row>
    <row r="152" spans="1:36" x14ac:dyDescent="0.25">
      <c r="A152" t="s">
        <v>292</v>
      </c>
      <c r="O152">
        <f t="shared" si="4"/>
        <v>0.88</v>
      </c>
      <c r="P152">
        <v>10</v>
      </c>
      <c r="Q152">
        <f t="shared" si="5"/>
        <v>27.850097600940209</v>
      </c>
      <c r="X152" t="s">
        <v>509</v>
      </c>
      <c r="Y152">
        <v>4</v>
      </c>
      <c r="Z152">
        <v>5</v>
      </c>
      <c r="AA152">
        <v>5</v>
      </c>
    </row>
    <row r="153" spans="1:36" x14ac:dyDescent="0.25">
      <c r="A153" t="s">
        <v>245</v>
      </c>
      <c r="O153">
        <f t="shared" si="4"/>
        <v>0.88</v>
      </c>
      <c r="P153">
        <v>11</v>
      </c>
      <c r="Q153">
        <f t="shared" si="5"/>
        <v>24.508085888827384</v>
      </c>
      <c r="X153" t="s">
        <v>231</v>
      </c>
      <c r="Y153">
        <f>(Y147+Y149+Y150+Y151)*Y152+(Y148+Y150+Y151)</f>
        <v>164</v>
      </c>
      <c r="Z153">
        <f>(Z147+Z149+Z150+Z151)*Z152</f>
        <v>90</v>
      </c>
      <c r="AA153">
        <f>(AA147+AA149+AA150+AA151)*AA152</f>
        <v>70</v>
      </c>
    </row>
    <row r="154" spans="1:36" x14ac:dyDescent="0.25">
      <c r="N154" t="s">
        <v>490</v>
      </c>
      <c r="O154">
        <f t="shared" si="4"/>
        <v>0.88</v>
      </c>
      <c r="P154">
        <v>12</v>
      </c>
      <c r="Q154">
        <f t="shared" si="5"/>
        <v>21.5671155821681</v>
      </c>
      <c r="V154">
        <f>3.5+6</f>
        <v>9.5</v>
      </c>
      <c r="Y154" t="s">
        <v>250</v>
      </c>
      <c r="Z154" t="s">
        <v>1193</v>
      </c>
      <c r="AA154" t="s">
        <v>1193</v>
      </c>
      <c r="AB154" t="s">
        <v>1193</v>
      </c>
      <c r="AC154" t="s">
        <v>1193</v>
      </c>
      <c r="AF154" t="s">
        <v>250</v>
      </c>
      <c r="AG154" t="s">
        <v>1193</v>
      </c>
      <c r="AH154" t="s">
        <v>1193</v>
      </c>
      <c r="AI154" t="s">
        <v>1193</v>
      </c>
      <c r="AJ154" t="s">
        <v>1193</v>
      </c>
    </row>
    <row r="155" spans="1:36" x14ac:dyDescent="0.25">
      <c r="A155" t="s">
        <v>246</v>
      </c>
      <c r="O155">
        <f t="shared" si="4"/>
        <v>0.88</v>
      </c>
      <c r="P155">
        <v>13</v>
      </c>
      <c r="Q155">
        <f t="shared" si="5"/>
        <v>18.979061712307928</v>
      </c>
      <c r="V155">
        <f>3.5+6</f>
        <v>9.5</v>
      </c>
      <c r="X155" t="s">
        <v>212</v>
      </c>
      <c r="Y155">
        <f>3.5+1+5+3.5+5</f>
        <v>18</v>
      </c>
      <c r="Z155">
        <f>4.5+5</f>
        <v>9.5</v>
      </c>
      <c r="AA155">
        <f>4.5+5</f>
        <v>9.5</v>
      </c>
      <c r="AB155">
        <f>4.5+5</f>
        <v>9.5</v>
      </c>
      <c r="AC155">
        <f>4.5+5</f>
        <v>9.5</v>
      </c>
      <c r="AE155" t="s">
        <v>212</v>
      </c>
      <c r="AF155">
        <f>Y155*2</f>
        <v>36</v>
      </c>
      <c r="AG155">
        <f>Z155*2</f>
        <v>19</v>
      </c>
      <c r="AH155">
        <f>AA155*2</f>
        <v>19</v>
      </c>
      <c r="AI155">
        <f>AB155*2</f>
        <v>19</v>
      </c>
      <c r="AJ155">
        <f>AC155*2</f>
        <v>19</v>
      </c>
    </row>
    <row r="156" spans="1:36" x14ac:dyDescent="0.25">
      <c r="O156">
        <f t="shared" si="4"/>
        <v>0.88</v>
      </c>
      <c r="P156">
        <v>14</v>
      </c>
      <c r="Q156">
        <f t="shared" si="5"/>
        <v>16.701574306830977</v>
      </c>
      <c r="V156">
        <f>6+6</f>
        <v>12</v>
      </c>
      <c r="X156" t="s">
        <v>233</v>
      </c>
      <c r="Y156">
        <v>10</v>
      </c>
      <c r="Z156">
        <v>2</v>
      </c>
      <c r="AA156">
        <v>2</v>
      </c>
      <c r="AB156">
        <v>7</v>
      </c>
      <c r="AC156">
        <v>7</v>
      </c>
      <c r="AE156" t="s">
        <v>233</v>
      </c>
      <c r="AF156">
        <v>10</v>
      </c>
      <c r="AG156">
        <v>2</v>
      </c>
      <c r="AH156">
        <v>2</v>
      </c>
      <c r="AI156">
        <v>7</v>
      </c>
      <c r="AJ156">
        <v>7</v>
      </c>
    </row>
    <row r="157" spans="1:36" x14ac:dyDescent="0.25">
      <c r="A157" t="s">
        <v>247</v>
      </c>
      <c r="O157">
        <f t="shared" si="4"/>
        <v>0.88</v>
      </c>
      <c r="P157">
        <v>15</v>
      </c>
      <c r="Q157">
        <f t="shared" si="5"/>
        <v>14.697385390011261</v>
      </c>
      <c r="V157">
        <f>AVERAGE(V154:V156)</f>
        <v>10.333333333333334</v>
      </c>
      <c r="X157" t="s">
        <v>818</v>
      </c>
      <c r="Y157">
        <f>13</f>
        <v>13</v>
      </c>
      <c r="Z157">
        <f>8</f>
        <v>8</v>
      </c>
      <c r="AA157">
        <v>6</v>
      </c>
      <c r="AB157">
        <f>8</f>
        <v>8</v>
      </c>
      <c r="AC157">
        <v>6</v>
      </c>
      <c r="AE157" t="s">
        <v>818</v>
      </c>
      <c r="AF157">
        <f t="shared" ref="AF157:AJ158" si="6">Y157*2</f>
        <v>26</v>
      </c>
      <c r="AG157">
        <f t="shared" si="6"/>
        <v>16</v>
      </c>
      <c r="AH157">
        <f t="shared" si="6"/>
        <v>12</v>
      </c>
      <c r="AI157">
        <f t="shared" si="6"/>
        <v>16</v>
      </c>
      <c r="AJ157">
        <f t="shared" si="6"/>
        <v>12</v>
      </c>
    </row>
    <row r="158" spans="1:36" x14ac:dyDescent="0.25">
      <c r="O158">
        <f t="shared" si="4"/>
        <v>0.88</v>
      </c>
      <c r="P158">
        <v>16</v>
      </c>
      <c r="Q158">
        <f t="shared" si="5"/>
        <v>12.933699143209909</v>
      </c>
      <c r="X158" t="s">
        <v>827</v>
      </c>
      <c r="Y158">
        <v>3</v>
      </c>
      <c r="Z158">
        <v>3</v>
      </c>
      <c r="AA158">
        <v>3</v>
      </c>
      <c r="AB158">
        <v>3</v>
      </c>
      <c r="AC158">
        <v>3</v>
      </c>
      <c r="AE158" t="s">
        <v>827</v>
      </c>
      <c r="AF158">
        <f t="shared" si="6"/>
        <v>6</v>
      </c>
      <c r="AG158">
        <f t="shared" si="6"/>
        <v>6</v>
      </c>
      <c r="AH158">
        <f t="shared" si="6"/>
        <v>6</v>
      </c>
      <c r="AI158">
        <f t="shared" si="6"/>
        <v>6</v>
      </c>
      <c r="AJ158">
        <f t="shared" si="6"/>
        <v>6</v>
      </c>
    </row>
    <row r="159" spans="1:36" x14ac:dyDescent="0.25">
      <c r="O159">
        <f t="shared" si="4"/>
        <v>0.88</v>
      </c>
      <c r="P159">
        <v>17</v>
      </c>
      <c r="Q159">
        <f t="shared" si="5"/>
        <v>11.381655246024721</v>
      </c>
      <c r="W159" t="s">
        <v>1062</v>
      </c>
      <c r="X159" t="s">
        <v>155</v>
      </c>
      <c r="Y159">
        <v>14</v>
      </c>
      <c r="Z159">
        <v>2</v>
      </c>
      <c r="AA159">
        <v>2</v>
      </c>
      <c r="AB159">
        <v>2</v>
      </c>
      <c r="AC159">
        <v>2</v>
      </c>
      <c r="AE159" t="s">
        <v>155</v>
      </c>
      <c r="AF159">
        <v>28</v>
      </c>
      <c r="AG159">
        <v>2</v>
      </c>
      <c r="AH159">
        <v>2</v>
      </c>
      <c r="AI159">
        <v>2</v>
      </c>
      <c r="AJ159">
        <v>2</v>
      </c>
    </row>
    <row r="160" spans="1:36" x14ac:dyDescent="0.25">
      <c r="N160" t="s">
        <v>491</v>
      </c>
      <c r="O160">
        <f t="shared" si="4"/>
        <v>0.88</v>
      </c>
      <c r="P160">
        <v>18</v>
      </c>
      <c r="Q160">
        <f t="shared" si="5"/>
        <v>10.015856616501754</v>
      </c>
      <c r="X160" t="s">
        <v>1192</v>
      </c>
      <c r="Y160">
        <v>0</v>
      </c>
      <c r="Z160">
        <v>2</v>
      </c>
      <c r="AA160">
        <v>2</v>
      </c>
      <c r="AB160">
        <v>2</v>
      </c>
      <c r="AC160">
        <v>2</v>
      </c>
      <c r="AE160" t="s">
        <v>1192</v>
      </c>
      <c r="AF160">
        <v>0</v>
      </c>
      <c r="AG160">
        <v>2</v>
      </c>
      <c r="AH160">
        <v>2</v>
      </c>
      <c r="AI160">
        <v>2</v>
      </c>
      <c r="AJ160">
        <v>2</v>
      </c>
    </row>
    <row r="161" spans="1:36" x14ac:dyDescent="0.25">
      <c r="C161">
        <f>(8+8)*10*4</f>
        <v>640</v>
      </c>
      <c r="O161">
        <f t="shared" si="4"/>
        <v>0.88</v>
      </c>
      <c r="P161">
        <v>19</v>
      </c>
      <c r="Q161">
        <f t="shared" si="5"/>
        <v>8.8139538225215439</v>
      </c>
      <c r="X161" t="s">
        <v>509</v>
      </c>
      <c r="Y161">
        <v>10</v>
      </c>
      <c r="Z161">
        <v>10</v>
      </c>
      <c r="AA161">
        <v>10</v>
      </c>
      <c r="AB161">
        <v>10</v>
      </c>
      <c r="AC161">
        <v>10</v>
      </c>
      <c r="AE161" t="s">
        <v>509</v>
      </c>
      <c r="AF161">
        <v>8</v>
      </c>
      <c r="AG161">
        <v>10</v>
      </c>
      <c r="AH161">
        <v>10</v>
      </c>
      <c r="AI161">
        <v>10</v>
      </c>
      <c r="AJ161">
        <v>10</v>
      </c>
    </row>
    <row r="162" spans="1:36" x14ac:dyDescent="0.25">
      <c r="C162">
        <f>(8+8)*6*10</f>
        <v>960</v>
      </c>
      <c r="O162">
        <f t="shared" si="4"/>
        <v>0.88</v>
      </c>
      <c r="P162">
        <v>20</v>
      </c>
      <c r="Q162">
        <f t="shared" si="5"/>
        <v>7.7562793638189573</v>
      </c>
      <c r="X162" t="s">
        <v>820</v>
      </c>
      <c r="Y162">
        <v>0</v>
      </c>
      <c r="Z162">
        <v>0</v>
      </c>
      <c r="AA162">
        <v>0</v>
      </c>
      <c r="AB162">
        <v>0</v>
      </c>
      <c r="AC162">
        <v>0</v>
      </c>
      <c r="AE162" t="s">
        <v>820</v>
      </c>
      <c r="AF162">
        <f>10+AF156+AF157+AF158+AF159</f>
        <v>80</v>
      </c>
      <c r="AG162">
        <v>0</v>
      </c>
      <c r="AH162">
        <v>0</v>
      </c>
      <c r="AI162">
        <v>0</v>
      </c>
      <c r="AJ162">
        <v>0</v>
      </c>
    </row>
    <row r="163" spans="1:36" x14ac:dyDescent="0.25">
      <c r="C163">
        <f>(8+8+8)*6*10</f>
        <v>1440</v>
      </c>
      <c r="O163">
        <f t="shared" si="4"/>
        <v>0.88</v>
      </c>
      <c r="P163">
        <v>21</v>
      </c>
      <c r="Q163">
        <f t="shared" si="5"/>
        <v>6.8255258401606831</v>
      </c>
      <c r="X163" t="s">
        <v>231</v>
      </c>
      <c r="Y163">
        <f>(+Y155+Y156+Y157+Y158+Y159+Y160)*Y161+Y162</f>
        <v>580</v>
      </c>
      <c r="Z163">
        <f>(+Z155+Z156+Z157+Z158+Z159+Z160)*Z161+Z162</f>
        <v>265</v>
      </c>
      <c r="AA163">
        <f>(+AA155+AA156+AA157+AA158+AA159+AA160)*AA161+AA162</f>
        <v>245</v>
      </c>
      <c r="AB163">
        <f>(+AB155+AB156+AB157+AB158+AB159+AB160)*AB161+AB162</f>
        <v>315</v>
      </c>
      <c r="AC163">
        <f>(+AC155+AC156+AC157+AC158+AC159+AC160)*AC161+AC162</f>
        <v>295</v>
      </c>
      <c r="AE163" t="s">
        <v>231</v>
      </c>
      <c r="AF163">
        <f>(+AF155+AF156+AF157+AF158+AF159+AF160)*AF161+AF162</f>
        <v>928</v>
      </c>
      <c r="AG163">
        <f>(+AG155+AG156+AG157+AG158+AG159+AG160)*AG161+AG162</f>
        <v>470</v>
      </c>
      <c r="AH163">
        <f>(+AH155+AH156+AH157+AH158+AH159+AH160)*AH161+AH162</f>
        <v>430</v>
      </c>
      <c r="AI163">
        <f>(+AI155+AI156+AI157+AI158+AI159+AI160)*AI161+AI162</f>
        <v>520</v>
      </c>
      <c r="AJ163">
        <f>(+AJ155+AJ156+AJ157+AJ158+AJ159+AJ160)*AJ161+AJ162</f>
        <v>480</v>
      </c>
    </row>
    <row r="164" spans="1:36" x14ac:dyDescent="0.25">
      <c r="C164">
        <f>(8+8+8+8)*6*10</f>
        <v>1920</v>
      </c>
      <c r="O164">
        <f t="shared" si="4"/>
        <v>0.88</v>
      </c>
      <c r="P164">
        <v>22</v>
      </c>
      <c r="Q164">
        <f t="shared" si="5"/>
        <v>6.0064627393414005</v>
      </c>
      <c r="AA164">
        <f>Z163+AA163</f>
        <v>510</v>
      </c>
      <c r="AC164">
        <f>AB163+AC163</f>
        <v>610</v>
      </c>
      <c r="AH164">
        <f>AG163+AH163</f>
        <v>900</v>
      </c>
      <c r="AJ164">
        <f>AI163+AJ163</f>
        <v>1000</v>
      </c>
    </row>
    <row r="165" spans="1:36" x14ac:dyDescent="0.25">
      <c r="C165">
        <f>(8+8*6)*6*10</f>
        <v>3360</v>
      </c>
      <c r="F165">
        <f>F166*0.5</f>
        <v>50</v>
      </c>
      <c r="G165">
        <f>G166*0.4</f>
        <v>140</v>
      </c>
      <c r="O165">
        <f t="shared" si="4"/>
        <v>0.88</v>
      </c>
      <c r="P165">
        <v>23</v>
      </c>
      <c r="Q165">
        <f t="shared" si="5"/>
        <v>5.2856872106204333</v>
      </c>
    </row>
    <row r="166" spans="1:36" x14ac:dyDescent="0.25">
      <c r="F166">
        <v>100</v>
      </c>
      <c r="G166">
        <v>350</v>
      </c>
      <c r="N166" t="s">
        <v>492</v>
      </c>
      <c r="O166">
        <f t="shared" si="4"/>
        <v>0.88</v>
      </c>
      <c r="P166">
        <v>24</v>
      </c>
      <c r="Q166">
        <f t="shared" si="5"/>
        <v>4.6514047453459808</v>
      </c>
      <c r="Y166" t="s">
        <v>1195</v>
      </c>
      <c r="Z166" t="s">
        <v>1193</v>
      </c>
      <c r="AA166" t="s">
        <v>1193</v>
      </c>
      <c r="AB166" t="s">
        <v>1193</v>
      </c>
      <c r="AC166" t="s">
        <v>1193</v>
      </c>
    </row>
    <row r="167" spans="1:36" x14ac:dyDescent="0.25">
      <c r="F167">
        <f>AVERAGE(F165:F166)</f>
        <v>75</v>
      </c>
      <c r="G167">
        <f>AVERAGE(G165:G166)</f>
        <v>245</v>
      </c>
      <c r="H167">
        <v>200</v>
      </c>
      <c r="O167">
        <f t="shared" si="4"/>
        <v>0.88</v>
      </c>
      <c r="P167">
        <v>25</v>
      </c>
      <c r="Q167">
        <f t="shared" si="5"/>
        <v>4.0932361759044635</v>
      </c>
      <c r="X167" t="s">
        <v>212</v>
      </c>
      <c r="Y167">
        <f>3.5+1+3</f>
        <v>7.5</v>
      </c>
      <c r="Z167">
        <f>4.5+5</f>
        <v>9.5</v>
      </c>
      <c r="AA167">
        <f>4.5+5</f>
        <v>9.5</v>
      </c>
      <c r="AB167">
        <v>7</v>
      </c>
      <c r="AC167">
        <v>7</v>
      </c>
    </row>
    <row r="168" spans="1:36" x14ac:dyDescent="0.25">
      <c r="O168">
        <f t="shared" si="4"/>
        <v>0.88</v>
      </c>
      <c r="P168">
        <v>26</v>
      </c>
      <c r="Q168">
        <f t="shared" si="5"/>
        <v>3.6020478347959273</v>
      </c>
      <c r="X168" t="s">
        <v>233</v>
      </c>
      <c r="Y168">
        <v>3</v>
      </c>
      <c r="Z168">
        <v>2</v>
      </c>
      <c r="AA168">
        <v>2</v>
      </c>
      <c r="AB168">
        <v>0</v>
      </c>
      <c r="AC168">
        <v>0</v>
      </c>
    </row>
    <row r="169" spans="1:36" x14ac:dyDescent="0.25">
      <c r="O169">
        <f t="shared" si="4"/>
        <v>0.88</v>
      </c>
      <c r="P169">
        <v>27</v>
      </c>
      <c r="Q169">
        <f t="shared" si="5"/>
        <v>3.1698020946204162</v>
      </c>
      <c r="X169" t="s">
        <v>818</v>
      </c>
      <c r="Y169">
        <v>4</v>
      </c>
      <c r="Z169">
        <v>4</v>
      </c>
      <c r="AA169">
        <v>3</v>
      </c>
      <c r="AB169">
        <v>4</v>
      </c>
      <c r="AC169">
        <v>3</v>
      </c>
    </row>
    <row r="170" spans="1:36" x14ac:dyDescent="0.25">
      <c r="B170" t="s">
        <v>295</v>
      </c>
      <c r="O170">
        <f t="shared" si="4"/>
        <v>0.88</v>
      </c>
      <c r="P170">
        <v>28</v>
      </c>
      <c r="Q170">
        <f t="shared" si="5"/>
        <v>2.7894258432659664</v>
      </c>
      <c r="X170" t="s">
        <v>827</v>
      </c>
      <c r="Y170">
        <v>3</v>
      </c>
      <c r="Z170">
        <v>3</v>
      </c>
      <c r="AA170">
        <v>3</v>
      </c>
      <c r="AB170">
        <v>3</v>
      </c>
      <c r="AC170">
        <v>3</v>
      </c>
    </row>
    <row r="171" spans="1:36" x14ac:dyDescent="0.25">
      <c r="O171">
        <f t="shared" si="4"/>
        <v>0.88</v>
      </c>
      <c r="P171">
        <v>29</v>
      </c>
      <c r="Q171">
        <f t="shared" si="5"/>
        <v>2.4546947420740501</v>
      </c>
      <c r="X171" t="s">
        <v>155</v>
      </c>
      <c r="Y171">
        <v>7</v>
      </c>
      <c r="Z171">
        <v>0</v>
      </c>
      <c r="AA171">
        <v>0</v>
      </c>
      <c r="AB171">
        <v>0</v>
      </c>
      <c r="AC171">
        <v>0</v>
      </c>
    </row>
    <row r="172" spans="1:36" x14ac:dyDescent="0.25">
      <c r="B172" t="s">
        <v>297</v>
      </c>
      <c r="D172" t="s">
        <v>296</v>
      </c>
      <c r="G172">
        <f>(3.5+6+10+3+10+13)*10</f>
        <v>455</v>
      </c>
      <c r="I172">
        <f>(3.5+6+10+3+10+4)*8+(4.5+2+3+10+4)</f>
        <v>315.5</v>
      </c>
      <c r="O172">
        <f t="shared" si="4"/>
        <v>0.88</v>
      </c>
      <c r="P172">
        <v>30</v>
      </c>
      <c r="Q172">
        <f t="shared" si="5"/>
        <v>2.1601313730251643</v>
      </c>
      <c r="X172" t="s">
        <v>1192</v>
      </c>
      <c r="Y172">
        <v>0</v>
      </c>
      <c r="Z172">
        <v>0</v>
      </c>
      <c r="AA172">
        <v>0</v>
      </c>
      <c r="AB172">
        <v>0</v>
      </c>
      <c r="AC172">
        <v>0</v>
      </c>
    </row>
    <row r="173" spans="1:36" x14ac:dyDescent="0.25">
      <c r="B173" t="s">
        <v>304</v>
      </c>
      <c r="D173" t="s">
        <v>305</v>
      </c>
      <c r="X173" t="s">
        <v>509</v>
      </c>
      <c r="Y173">
        <v>4</v>
      </c>
      <c r="Z173">
        <v>3</v>
      </c>
      <c r="AA173">
        <v>3</v>
      </c>
      <c r="AB173">
        <v>5</v>
      </c>
      <c r="AC173">
        <v>5</v>
      </c>
    </row>
    <row r="174" spans="1:36" x14ac:dyDescent="0.25">
      <c r="A174" t="s">
        <v>302</v>
      </c>
      <c r="X174" t="s">
        <v>820</v>
      </c>
      <c r="Y174">
        <f>4.5+2</f>
        <v>6.5</v>
      </c>
      <c r="Z174">
        <v>0</v>
      </c>
      <c r="AA174">
        <v>0</v>
      </c>
      <c r="AB174">
        <v>0</v>
      </c>
      <c r="AC174">
        <v>0</v>
      </c>
    </row>
    <row r="175" spans="1:36" x14ac:dyDescent="0.25">
      <c r="X175" t="s">
        <v>231</v>
      </c>
      <c r="Y175">
        <f>(+Y167+Y168+Y169+Y170+Y171+Y172)*Y173</f>
        <v>98</v>
      </c>
      <c r="Z175">
        <f>(+Z167+Z168+Z169+Z170+Z171+Z172)*Z173+Z174</f>
        <v>55.5</v>
      </c>
      <c r="AA175">
        <f>(+AA167+AA168+AA169+AA170+AA171+AA172)*AA173+AA174</f>
        <v>52.5</v>
      </c>
      <c r="AB175">
        <f>(+AB167+AB168+AB169+AB170+AB171+AB172)*AB173+AB174</f>
        <v>70</v>
      </c>
      <c r="AC175">
        <f>(+AC167+AC168+AC169+AC170+AC171+AC172)*AC173+AC174</f>
        <v>65</v>
      </c>
    </row>
    <row r="176" spans="1:36" x14ac:dyDescent="0.25">
      <c r="A176" t="s">
        <v>250</v>
      </c>
      <c r="B176">
        <f>3.5+6</f>
        <v>9.5</v>
      </c>
      <c r="C176" t="s">
        <v>250</v>
      </c>
      <c r="D176">
        <f>3.5+6</f>
        <v>9.5</v>
      </c>
      <c r="X176" t="s">
        <v>1194</v>
      </c>
      <c r="Y176">
        <f>Y175+Y174+Y171+Y170+Y169+Y168+Y167</f>
        <v>129</v>
      </c>
      <c r="AA176">
        <f>Z175+AA175</f>
        <v>108</v>
      </c>
      <c r="AC176">
        <f>AB175+AC175</f>
        <v>135</v>
      </c>
    </row>
    <row r="177" spans="1:29" x14ac:dyDescent="0.25">
      <c r="A177" t="s">
        <v>233</v>
      </c>
      <c r="B177">
        <v>10</v>
      </c>
      <c r="C177" t="s">
        <v>233</v>
      </c>
      <c r="D177">
        <v>10</v>
      </c>
      <c r="AC177">
        <v>141</v>
      </c>
    </row>
    <row r="178" spans="1:29" x14ac:dyDescent="0.25">
      <c r="A178" t="s">
        <v>91</v>
      </c>
      <c r="B178">
        <v>3</v>
      </c>
      <c r="C178" t="s">
        <v>91</v>
      </c>
      <c r="D178">
        <v>3</v>
      </c>
    </row>
    <row r="179" spans="1:29" x14ac:dyDescent="0.25">
      <c r="A179" t="s">
        <v>88</v>
      </c>
      <c r="B179">
        <v>13</v>
      </c>
      <c r="C179" t="s">
        <v>88</v>
      </c>
      <c r="D179">
        <v>4</v>
      </c>
    </row>
    <row r="180" spans="1:29" x14ac:dyDescent="0.25">
      <c r="A180" t="s">
        <v>155</v>
      </c>
      <c r="B180">
        <v>10</v>
      </c>
      <c r="C180" t="s">
        <v>155</v>
      </c>
      <c r="D180">
        <v>10</v>
      </c>
    </row>
    <row r="181" spans="1:29" x14ac:dyDescent="0.25">
      <c r="A181" t="s">
        <v>73</v>
      </c>
      <c r="B181">
        <v>10</v>
      </c>
      <c r="C181" t="s">
        <v>73</v>
      </c>
      <c r="D181">
        <v>8</v>
      </c>
    </row>
    <row r="182" spans="1:29" x14ac:dyDescent="0.25">
      <c r="A182" t="s">
        <v>298</v>
      </c>
      <c r="B182">
        <v>0</v>
      </c>
      <c r="C182" t="s">
        <v>298</v>
      </c>
      <c r="D182">
        <f>4.5+2</f>
        <v>6.5</v>
      </c>
    </row>
    <row r="183" spans="1:29" x14ac:dyDescent="0.25">
      <c r="A183" t="s">
        <v>233</v>
      </c>
      <c r="B183">
        <v>0</v>
      </c>
      <c r="C183" t="s">
        <v>233</v>
      </c>
      <c r="D183">
        <v>0</v>
      </c>
    </row>
    <row r="184" spans="1:29" x14ac:dyDescent="0.25">
      <c r="A184" t="s">
        <v>91</v>
      </c>
      <c r="B184">
        <v>0</v>
      </c>
      <c r="C184" t="s">
        <v>91</v>
      </c>
      <c r="D184">
        <v>3</v>
      </c>
    </row>
    <row r="185" spans="1:29" x14ac:dyDescent="0.25">
      <c r="A185" t="s">
        <v>88</v>
      </c>
      <c r="B185">
        <v>0</v>
      </c>
      <c r="C185" t="s">
        <v>88</v>
      </c>
      <c r="D185">
        <v>4</v>
      </c>
    </row>
    <row r="186" spans="1:29" x14ac:dyDescent="0.25">
      <c r="A186" t="s">
        <v>155</v>
      </c>
      <c r="B186">
        <v>0</v>
      </c>
      <c r="C186" t="s">
        <v>155</v>
      </c>
      <c r="D186">
        <v>10</v>
      </c>
    </row>
    <row r="187" spans="1:29" x14ac:dyDescent="0.25">
      <c r="A187" t="s">
        <v>299</v>
      </c>
      <c r="B187">
        <v>0</v>
      </c>
      <c r="C187" t="s">
        <v>299</v>
      </c>
      <c r="D187">
        <v>1</v>
      </c>
    </row>
    <row r="188" spans="1:29" x14ac:dyDescent="0.25">
      <c r="A188" t="s">
        <v>231</v>
      </c>
      <c r="B188">
        <f>(B176+B177+B178+B179+B180)*B181+(B182+B183+B184+B185+B186)*B187</f>
        <v>455</v>
      </c>
      <c r="C188" t="s">
        <v>231</v>
      </c>
      <c r="D188">
        <f>(D176+D177+D178+D179+D180)*D181+(D182+D183+D184+D185+D186)*D187</f>
        <v>315.5</v>
      </c>
    </row>
    <row r="190" spans="1:29" x14ac:dyDescent="0.25">
      <c r="A190" t="s">
        <v>303</v>
      </c>
    </row>
    <row r="192" spans="1:29" x14ac:dyDescent="0.25">
      <c r="A192" t="s">
        <v>250</v>
      </c>
      <c r="B192">
        <f>3.5+6</f>
        <v>9.5</v>
      </c>
      <c r="C192" t="s">
        <v>250</v>
      </c>
      <c r="D192">
        <f>3.5+6</f>
        <v>9.5</v>
      </c>
    </row>
    <row r="193" spans="1:4" x14ac:dyDescent="0.25">
      <c r="A193" t="s">
        <v>233</v>
      </c>
      <c r="B193">
        <v>10</v>
      </c>
      <c r="C193" t="s">
        <v>233</v>
      </c>
      <c r="D193">
        <v>10</v>
      </c>
    </row>
    <row r="194" spans="1:4" x14ac:dyDescent="0.25">
      <c r="A194" t="s">
        <v>91</v>
      </c>
      <c r="B194">
        <v>3</v>
      </c>
      <c r="C194" t="s">
        <v>91</v>
      </c>
      <c r="D194">
        <v>3</v>
      </c>
    </row>
    <row r="195" spans="1:4" x14ac:dyDescent="0.25">
      <c r="A195" t="s">
        <v>88</v>
      </c>
      <c r="B195">
        <v>13</v>
      </c>
      <c r="C195" t="s">
        <v>88</v>
      </c>
      <c r="D195">
        <v>4</v>
      </c>
    </row>
    <row r="196" spans="1:4" x14ac:dyDescent="0.25">
      <c r="A196" t="s">
        <v>155</v>
      </c>
      <c r="B196">
        <v>14</v>
      </c>
      <c r="C196" t="s">
        <v>155</v>
      </c>
      <c r="D196">
        <v>14</v>
      </c>
    </row>
    <row r="197" spans="1:4" x14ac:dyDescent="0.25">
      <c r="A197" t="s">
        <v>73</v>
      </c>
      <c r="B197">
        <v>9</v>
      </c>
      <c r="C197" t="s">
        <v>73</v>
      </c>
      <c r="D197">
        <v>6</v>
      </c>
    </row>
    <row r="198" spans="1:4" x14ac:dyDescent="0.25">
      <c r="A198" t="s">
        <v>300</v>
      </c>
      <c r="B198">
        <f>5+3</f>
        <v>8</v>
      </c>
      <c r="C198" t="s">
        <v>300</v>
      </c>
      <c r="D198">
        <f>5+3</f>
        <v>8</v>
      </c>
    </row>
    <row r="199" spans="1:4" x14ac:dyDescent="0.25">
      <c r="A199" t="s">
        <v>233</v>
      </c>
      <c r="B199">
        <v>0</v>
      </c>
      <c r="C199" t="s">
        <v>233</v>
      </c>
      <c r="D199">
        <v>0</v>
      </c>
    </row>
    <row r="200" spans="1:4" x14ac:dyDescent="0.25">
      <c r="A200" t="s">
        <v>91</v>
      </c>
      <c r="B200">
        <v>3</v>
      </c>
      <c r="C200" t="s">
        <v>91</v>
      </c>
      <c r="D200">
        <v>3</v>
      </c>
    </row>
    <row r="201" spans="1:4" x14ac:dyDescent="0.25">
      <c r="A201" t="s">
        <v>88</v>
      </c>
      <c r="B201">
        <v>13</v>
      </c>
      <c r="C201" t="s">
        <v>88</v>
      </c>
      <c r="D201">
        <v>4</v>
      </c>
    </row>
    <row r="202" spans="1:4" x14ac:dyDescent="0.25">
      <c r="A202" t="s">
        <v>155</v>
      </c>
      <c r="B202">
        <v>14</v>
      </c>
      <c r="C202" t="s">
        <v>155</v>
      </c>
      <c r="D202">
        <v>14</v>
      </c>
    </row>
    <row r="203" spans="1:4" x14ac:dyDescent="0.25">
      <c r="A203" t="s">
        <v>301</v>
      </c>
      <c r="B203">
        <v>1</v>
      </c>
      <c r="C203" t="s">
        <v>301</v>
      </c>
      <c r="D203">
        <v>1</v>
      </c>
    </row>
    <row r="204" spans="1:4" x14ac:dyDescent="0.25">
      <c r="A204" t="s">
        <v>231</v>
      </c>
      <c r="B204">
        <f>(B192+B193+B194+B195+B196)*B197+(B198+B199+B200+B201+B202)*B203</f>
        <v>483.5</v>
      </c>
      <c r="C204" t="s">
        <v>231</v>
      </c>
      <c r="D204">
        <f>(D192+D193+D194+D195+D196)*D197+(D198+D199+D200+D201+D202)*D203</f>
        <v>272</v>
      </c>
    </row>
    <row r="206" spans="1:4" x14ac:dyDescent="0.25">
      <c r="A206" t="s">
        <v>306</v>
      </c>
    </row>
    <row r="208" spans="1:4" x14ac:dyDescent="0.25">
      <c r="A208" t="s">
        <v>250</v>
      </c>
      <c r="C208">
        <f>((B188/D188)-1)*100</f>
        <v>44.215530903328059</v>
      </c>
    </row>
    <row r="209" spans="1:3" x14ac:dyDescent="0.25">
      <c r="A209" t="s">
        <v>151</v>
      </c>
      <c r="C209">
        <f>((B204/D188)-1)*100</f>
        <v>53.248811410459581</v>
      </c>
    </row>
    <row r="211" spans="1:3" x14ac:dyDescent="0.25">
      <c r="A211" t="s">
        <v>307</v>
      </c>
    </row>
    <row r="212" spans="1:3" x14ac:dyDescent="0.25">
      <c r="A212" t="s">
        <v>308</v>
      </c>
    </row>
    <row r="213" spans="1:3" x14ac:dyDescent="0.25">
      <c r="A213" t="s">
        <v>309</v>
      </c>
    </row>
    <row r="214" spans="1:3" x14ac:dyDescent="0.25">
      <c r="A214" t="s">
        <v>310</v>
      </c>
    </row>
    <row r="215" spans="1:3" x14ac:dyDescent="0.25">
      <c r="A215" t="s">
        <v>311</v>
      </c>
    </row>
    <row r="216" spans="1:3" x14ac:dyDescent="0.25">
      <c r="A216" t="s">
        <v>312</v>
      </c>
    </row>
    <row r="217" spans="1:3" x14ac:dyDescent="0.25">
      <c r="A217" t="s">
        <v>323</v>
      </c>
    </row>
    <row r="218" spans="1:3" x14ac:dyDescent="0.25">
      <c r="A218" t="s">
        <v>313</v>
      </c>
    </row>
    <row r="219" spans="1:3" x14ac:dyDescent="0.25">
      <c r="A219" t="s">
        <v>314</v>
      </c>
    </row>
    <row r="220" spans="1:3" x14ac:dyDescent="0.25">
      <c r="A220" t="s">
        <v>315</v>
      </c>
    </row>
    <row r="221" spans="1:3" x14ac:dyDescent="0.25">
      <c r="A221" t="s">
        <v>320</v>
      </c>
    </row>
    <row r="222" spans="1:3" x14ac:dyDescent="0.25">
      <c r="A222" t="s">
        <v>321</v>
      </c>
    </row>
    <row r="223" spans="1:3" x14ac:dyDescent="0.25">
      <c r="A223" t="s">
        <v>316</v>
      </c>
    </row>
    <row r="224" spans="1:3" x14ac:dyDescent="0.25">
      <c r="A224" t="s">
        <v>324</v>
      </c>
    </row>
    <row r="225" spans="1:1" x14ac:dyDescent="0.25">
      <c r="A225" t="s">
        <v>319</v>
      </c>
    </row>
    <row r="226" spans="1:1" x14ac:dyDescent="0.25">
      <c r="A226" t="s">
        <v>317</v>
      </c>
    </row>
    <row r="227" spans="1:1" x14ac:dyDescent="0.25">
      <c r="A227" t="s">
        <v>318</v>
      </c>
    </row>
    <row r="228" spans="1:1" x14ac:dyDescent="0.25">
      <c r="A228" t="s">
        <v>322</v>
      </c>
    </row>
    <row r="229" spans="1:1" x14ac:dyDescent="0.25">
      <c r="A229" t="s">
        <v>325</v>
      </c>
    </row>
    <row r="230" spans="1:1" x14ac:dyDescent="0.25">
      <c r="A230" t="s">
        <v>326</v>
      </c>
    </row>
    <row r="231" spans="1:1" x14ac:dyDescent="0.25">
      <c r="A231" t="s">
        <v>327</v>
      </c>
    </row>
    <row r="232" spans="1:1" x14ac:dyDescent="0.25">
      <c r="A232" t="s">
        <v>328</v>
      </c>
    </row>
    <row r="233" spans="1:1" x14ac:dyDescent="0.25">
      <c r="A233" t="s">
        <v>329</v>
      </c>
    </row>
  </sheetData>
  <pageMargins left="0.7" right="0.7" top="0.75" bottom="0.75" header="0.3" footer="0.3"/>
  <ignoredErrors>
    <ignoredError sqref="Q122" 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5:BS594"/>
  <sheetViews>
    <sheetView topLeftCell="A8" workbookViewId="0">
      <selection activeCell="O345" sqref="O345"/>
    </sheetView>
  </sheetViews>
  <sheetFormatPr defaultRowHeight="15" x14ac:dyDescent="0.25"/>
  <cols>
    <col min="4" max="4" width="13.28515625" customWidth="1"/>
    <col min="12" max="12" width="9.85546875" customWidth="1"/>
    <col min="13" max="13" width="14.42578125" customWidth="1"/>
    <col min="14" max="14" width="15.5703125" customWidth="1"/>
    <col min="15" max="15" width="18.140625" customWidth="1"/>
    <col min="19" max="19" width="9.5703125" customWidth="1"/>
    <col min="20" max="20" width="12.7109375" customWidth="1"/>
    <col min="21" max="21" width="12.28515625" customWidth="1"/>
    <col min="22" max="22" width="12.7109375" customWidth="1"/>
    <col min="23" max="23" width="11" customWidth="1"/>
    <col min="26" max="26" width="10" bestFit="1" customWidth="1"/>
    <col min="27" max="27" width="13.42578125" customWidth="1"/>
  </cols>
  <sheetData>
    <row r="5" spans="3:17" x14ac:dyDescent="0.25">
      <c r="M5">
        <f>0.9^8</f>
        <v>0.43046721000000016</v>
      </c>
    </row>
    <row r="8" spans="3:17" x14ac:dyDescent="0.25">
      <c r="G8">
        <f>9/20</f>
        <v>0.45</v>
      </c>
      <c r="H8">
        <f>0.4*0.7</f>
        <v>0.27999999999999997</v>
      </c>
      <c r="I8">
        <f>1-H8</f>
        <v>0.72</v>
      </c>
    </row>
    <row r="9" spans="3:17" x14ac:dyDescent="0.25">
      <c r="E9">
        <f>0.5^4</f>
        <v>6.25E-2</v>
      </c>
      <c r="I9">
        <f>0.72^8</f>
        <v>7.2220413630873573E-2</v>
      </c>
      <c r="K9">
        <f>0.85^2</f>
        <v>0.72249999999999992</v>
      </c>
    </row>
    <row r="11" spans="3:17" x14ac:dyDescent="0.25">
      <c r="L11">
        <f>60*60/6</f>
        <v>600</v>
      </c>
    </row>
    <row r="13" spans="3:17" x14ac:dyDescent="0.25">
      <c r="F13">
        <f>70-24</f>
        <v>46</v>
      </c>
      <c r="L13">
        <f>6*8</f>
        <v>48</v>
      </c>
      <c r="O13">
        <f>0.75^8</f>
        <v>0.1001129150390625</v>
      </c>
      <c r="P13">
        <v>11</v>
      </c>
    </row>
    <row r="14" spans="3:17" x14ac:dyDescent="0.25">
      <c r="C14">
        <f>7/20</f>
        <v>0.35</v>
      </c>
      <c r="F14">
        <f>46/6</f>
        <v>7.666666666666667</v>
      </c>
      <c r="J14">
        <f>0.75^8</f>
        <v>0.1001129150390625</v>
      </c>
      <c r="P14">
        <v>11</v>
      </c>
      <c r="Q14">
        <f>P13+P14</f>
        <v>22</v>
      </c>
    </row>
    <row r="15" spans="3:17" x14ac:dyDescent="0.25">
      <c r="C15">
        <f>0.65^5</f>
        <v>0.11602906250000003</v>
      </c>
      <c r="F15">
        <f>8*F14-10</f>
        <v>51.333333333333336</v>
      </c>
      <c r="L15">
        <f>0.75</f>
        <v>0.75</v>
      </c>
      <c r="M15">
        <v>0.25</v>
      </c>
      <c r="P15">
        <v>11</v>
      </c>
      <c r="Q15">
        <f t="shared" ref="Q15:Q21" si="0">Q14+P15</f>
        <v>33</v>
      </c>
    </row>
    <row r="16" spans="3:17" x14ac:dyDescent="0.25">
      <c r="L16">
        <f>0.75</f>
        <v>0.75</v>
      </c>
      <c r="M16">
        <v>0.25</v>
      </c>
      <c r="P16">
        <v>11</v>
      </c>
      <c r="Q16">
        <f t="shared" si="0"/>
        <v>44</v>
      </c>
    </row>
    <row r="17" spans="5:39" x14ac:dyDescent="0.25">
      <c r="E17">
        <f>22+12+2</f>
        <v>36</v>
      </c>
      <c r="I17">
        <f>3/20</f>
        <v>0.15</v>
      </c>
      <c r="J17">
        <f>0.15/2</f>
        <v>7.4999999999999997E-2</v>
      </c>
      <c r="L17">
        <f>L15*L16</f>
        <v>0.5625</v>
      </c>
      <c r="M17">
        <f>M15*M16</f>
        <v>6.25E-2</v>
      </c>
      <c r="N17">
        <f>1-M17</f>
        <v>0.9375</v>
      </c>
      <c r="P17">
        <v>11</v>
      </c>
      <c r="Q17">
        <f t="shared" si="0"/>
        <v>55</v>
      </c>
    </row>
    <row r="18" spans="5:39" x14ac:dyDescent="0.25">
      <c r="E18">
        <f>3*6</f>
        <v>18</v>
      </c>
      <c r="I18">
        <f>0.85^6</f>
        <v>0.37714951562499988</v>
      </c>
      <c r="J18">
        <f>1-J17</f>
        <v>0.92500000000000004</v>
      </c>
      <c r="N18">
        <f>N17^8</f>
        <v>0.59671947383321822</v>
      </c>
      <c r="P18">
        <v>11</v>
      </c>
      <c r="Q18">
        <f t="shared" si="0"/>
        <v>66</v>
      </c>
    </row>
    <row r="19" spans="5:39" x14ac:dyDescent="0.25">
      <c r="E19">
        <f>E18*3</f>
        <v>54</v>
      </c>
      <c r="J19">
        <f>J18^8</f>
        <v>0.5359618307374574</v>
      </c>
      <c r="P19">
        <v>11</v>
      </c>
      <c r="Q19">
        <f t="shared" si="0"/>
        <v>77</v>
      </c>
    </row>
    <row r="20" spans="5:39" x14ac:dyDescent="0.25">
      <c r="L20">
        <f>4.5*4*2</f>
        <v>36</v>
      </c>
      <c r="P20">
        <v>11</v>
      </c>
      <c r="Q20">
        <f t="shared" si="0"/>
        <v>88</v>
      </c>
    </row>
    <row r="21" spans="5:39" x14ac:dyDescent="0.25">
      <c r="F21">
        <f>(22+12)*3+(3.5+2+12)*1</f>
        <v>119.5</v>
      </c>
      <c r="M21">
        <f>55*4</f>
        <v>220</v>
      </c>
      <c r="P21">
        <v>11</v>
      </c>
      <c r="Q21">
        <f t="shared" si="0"/>
        <v>99</v>
      </c>
    </row>
    <row r="22" spans="5:39" x14ac:dyDescent="0.25">
      <c r="F22">
        <f>(22+12)*3+(3.5+2+12)*1</f>
        <v>119.5</v>
      </c>
      <c r="P22">
        <v>11</v>
      </c>
    </row>
    <row r="23" spans="5:39" x14ac:dyDescent="0.25">
      <c r="F23">
        <f>(22+12)*3+(3.5+2+12)*1</f>
        <v>119.5</v>
      </c>
      <c r="I23" t="s">
        <v>693</v>
      </c>
      <c r="N23" t="s">
        <v>694</v>
      </c>
    </row>
    <row r="24" spans="5:39" x14ac:dyDescent="0.25">
      <c r="F24">
        <f>SUM(F21:F23)</f>
        <v>358.5</v>
      </c>
      <c r="G24">
        <f>F24*2</f>
        <v>717</v>
      </c>
      <c r="I24">
        <f>(22+12)*2+3.5+2+12</f>
        <v>85.5</v>
      </c>
      <c r="M24">
        <f>3.5+12+1+3+4+1</f>
        <v>24.5</v>
      </c>
      <c r="N24">
        <f>56*6</f>
        <v>336</v>
      </c>
    </row>
    <row r="25" spans="5:39" x14ac:dyDescent="0.25">
      <c r="I25">
        <f>(22+12)*2+3.5+2+12</f>
        <v>85.5</v>
      </c>
      <c r="M25">
        <f>55*4</f>
        <v>220</v>
      </c>
      <c r="N25">
        <f>56*6</f>
        <v>336</v>
      </c>
    </row>
    <row r="26" spans="5:39" x14ac:dyDescent="0.25">
      <c r="I26">
        <f>(22+12)*2+3.5+2+12</f>
        <v>85.5</v>
      </c>
      <c r="M26">
        <f>55*4</f>
        <v>220</v>
      </c>
      <c r="N26">
        <f>56*6</f>
        <v>336</v>
      </c>
    </row>
    <row r="27" spans="5:39" x14ac:dyDescent="0.25">
      <c r="I27">
        <f>SUM(I24:I26)</f>
        <v>256.5</v>
      </c>
      <c r="J27">
        <f>I27*2</f>
        <v>513</v>
      </c>
      <c r="M27">
        <f>SUM(M24:M26)</f>
        <v>464.5</v>
      </c>
      <c r="N27">
        <f>SUM(N24:N26)</f>
        <v>1008</v>
      </c>
    </row>
    <row r="28" spans="5:39" x14ac:dyDescent="0.25">
      <c r="E28">
        <f>8*(5.5+5+1)</f>
        <v>92</v>
      </c>
      <c r="G28">
        <f>4*(4.5+4+9)+2*(3.5+2+9)</f>
        <v>99</v>
      </c>
    </row>
    <row r="29" spans="5:39" x14ac:dyDescent="0.25">
      <c r="K29" t="s">
        <v>691</v>
      </c>
    </row>
    <row r="30" spans="5:39" x14ac:dyDescent="0.25">
      <c r="K30" t="s">
        <v>692</v>
      </c>
    </row>
    <row r="31" spans="5:39" x14ac:dyDescent="0.25">
      <c r="K31" t="s">
        <v>695</v>
      </c>
      <c r="AG31" t="s">
        <v>825</v>
      </c>
      <c r="AM31">
        <f>3.5+2</f>
        <v>5.5</v>
      </c>
    </row>
    <row r="32" spans="5:39" x14ac:dyDescent="0.25">
      <c r="K32" t="s">
        <v>696</v>
      </c>
      <c r="AG32" t="s">
        <v>1280</v>
      </c>
      <c r="AM32">
        <f>4.5+4+2+4</f>
        <v>14.5</v>
      </c>
    </row>
    <row r="33" spans="8:62" x14ac:dyDescent="0.25">
      <c r="AH33" t="s">
        <v>821</v>
      </c>
      <c r="AI33" t="s">
        <v>1279</v>
      </c>
      <c r="AJ33" t="s">
        <v>1126</v>
      </c>
      <c r="AK33" t="s">
        <v>1277</v>
      </c>
      <c r="AL33" t="s">
        <v>496</v>
      </c>
      <c r="AM33" t="s">
        <v>1278</v>
      </c>
      <c r="AN33" t="s">
        <v>509</v>
      </c>
    </row>
    <row r="34" spans="8:62" x14ac:dyDescent="0.25">
      <c r="H34">
        <f>16-(2*2*2*3)</f>
        <v>-8</v>
      </c>
      <c r="K34" t="s">
        <v>697</v>
      </c>
      <c r="AG34" t="s">
        <v>626</v>
      </c>
      <c r="AH34">
        <f>10-1-6-1</f>
        <v>2</v>
      </c>
      <c r="AI34">
        <f t="shared" ref="AI34:AI39" si="1">AH34-4</f>
        <v>-2</v>
      </c>
      <c r="AJ34">
        <f t="shared" ref="AJ34:AJ39" si="2">-15+12</f>
        <v>-3</v>
      </c>
      <c r="AK34">
        <f t="shared" ref="AK34:AK39" si="3">AI34-AJ34</f>
        <v>1</v>
      </c>
      <c r="AL34">
        <f t="shared" ref="AL34:AL39" si="4">(20-AK34)/20</f>
        <v>0.95</v>
      </c>
      <c r="AM34">
        <f>6.5+6.5+2+4</f>
        <v>19</v>
      </c>
      <c r="AN34">
        <v>10</v>
      </c>
      <c r="AO34">
        <f t="shared" ref="AO34:AO39" si="5">AN34*AM34*AL34</f>
        <v>180.5</v>
      </c>
    </row>
    <row r="35" spans="8:62" x14ac:dyDescent="0.25">
      <c r="J35">
        <f>8*2</f>
        <v>16</v>
      </c>
      <c r="K35" t="s">
        <v>698</v>
      </c>
      <c r="AG35" t="s">
        <v>630</v>
      </c>
      <c r="AH35">
        <f>9-4-5</f>
        <v>0</v>
      </c>
      <c r="AI35">
        <f t="shared" si="1"/>
        <v>-4</v>
      </c>
      <c r="AJ35">
        <f t="shared" si="2"/>
        <v>-3</v>
      </c>
      <c r="AK35">
        <f t="shared" si="3"/>
        <v>-1</v>
      </c>
      <c r="AL35">
        <f t="shared" si="4"/>
        <v>1.05</v>
      </c>
      <c r="AM35">
        <f>4.5+4+4+10</f>
        <v>22.5</v>
      </c>
      <c r="AN35">
        <v>4</v>
      </c>
      <c r="AO35">
        <f t="shared" si="5"/>
        <v>94.5</v>
      </c>
    </row>
    <row r="36" spans="8:62" x14ac:dyDescent="0.25">
      <c r="K36" t="s">
        <v>699</v>
      </c>
      <c r="AG36" t="s">
        <v>694</v>
      </c>
      <c r="AH36">
        <f>13-7</f>
        <v>6</v>
      </c>
      <c r="AI36">
        <f t="shared" si="1"/>
        <v>2</v>
      </c>
      <c r="AJ36">
        <f t="shared" si="2"/>
        <v>-3</v>
      </c>
      <c r="AK36">
        <f t="shared" si="3"/>
        <v>5</v>
      </c>
      <c r="AL36">
        <f t="shared" si="4"/>
        <v>0.75</v>
      </c>
      <c r="AM36">
        <f>54+1+4</f>
        <v>59</v>
      </c>
      <c r="AN36">
        <v>4</v>
      </c>
      <c r="AO36">
        <f t="shared" si="5"/>
        <v>177</v>
      </c>
    </row>
    <row r="37" spans="8:62" x14ac:dyDescent="0.25">
      <c r="AG37" t="s">
        <v>631</v>
      </c>
      <c r="AH37">
        <f>14-2-3-2</f>
        <v>7</v>
      </c>
      <c r="AI37">
        <f t="shared" si="1"/>
        <v>3</v>
      </c>
      <c r="AJ37">
        <f t="shared" si="2"/>
        <v>-3</v>
      </c>
      <c r="AK37">
        <f t="shared" si="3"/>
        <v>6</v>
      </c>
      <c r="AL37">
        <f t="shared" si="4"/>
        <v>0.7</v>
      </c>
      <c r="AM37">
        <f>2+3+4</f>
        <v>9</v>
      </c>
      <c r="AN37">
        <v>6</v>
      </c>
      <c r="AO37">
        <f t="shared" si="5"/>
        <v>37.799999999999997</v>
      </c>
    </row>
    <row r="38" spans="8:62" x14ac:dyDescent="0.25">
      <c r="K38" t="s">
        <v>700</v>
      </c>
      <c r="AG38" t="s">
        <v>629</v>
      </c>
      <c r="AH38">
        <f>13-2-1</f>
        <v>10</v>
      </c>
      <c r="AI38">
        <f t="shared" si="1"/>
        <v>6</v>
      </c>
      <c r="AJ38">
        <f t="shared" si="2"/>
        <v>-3</v>
      </c>
      <c r="AK38">
        <f t="shared" si="3"/>
        <v>9</v>
      </c>
      <c r="AL38">
        <f t="shared" si="4"/>
        <v>0.55000000000000004</v>
      </c>
      <c r="AM38">
        <f>3.5+1+4</f>
        <v>8.5</v>
      </c>
      <c r="AN38">
        <v>6</v>
      </c>
      <c r="AO38">
        <f t="shared" si="5"/>
        <v>28.05</v>
      </c>
    </row>
    <row r="39" spans="8:62" x14ac:dyDescent="0.25">
      <c r="K39" t="s">
        <v>701</v>
      </c>
      <c r="AG39" t="s">
        <v>633</v>
      </c>
      <c r="AH39">
        <f>3-6-4</f>
        <v>-7</v>
      </c>
      <c r="AI39">
        <f t="shared" si="1"/>
        <v>-11</v>
      </c>
      <c r="AJ39">
        <f t="shared" si="2"/>
        <v>-3</v>
      </c>
      <c r="AK39">
        <f t="shared" si="3"/>
        <v>-8</v>
      </c>
      <c r="AL39">
        <f t="shared" si="4"/>
        <v>1.4</v>
      </c>
      <c r="AM39">
        <f>5+4+12+4</f>
        <v>25</v>
      </c>
      <c r="AN39">
        <v>2</v>
      </c>
      <c r="AO39">
        <f t="shared" si="5"/>
        <v>70</v>
      </c>
    </row>
    <row r="40" spans="8:62" x14ac:dyDescent="0.25">
      <c r="K40" t="s">
        <v>702</v>
      </c>
    </row>
    <row r="41" spans="8:62" x14ac:dyDescent="0.25">
      <c r="K41" t="s">
        <v>703</v>
      </c>
      <c r="AH41" t="s">
        <v>821</v>
      </c>
      <c r="AI41" t="s">
        <v>1279</v>
      </c>
      <c r="AJ41" t="s">
        <v>1126</v>
      </c>
      <c r="AK41" t="s">
        <v>1277</v>
      </c>
      <c r="AL41" t="s">
        <v>496</v>
      </c>
      <c r="AM41" t="s">
        <v>1278</v>
      </c>
      <c r="AN41" t="s">
        <v>509</v>
      </c>
      <c r="AP41" t="s">
        <v>1281</v>
      </c>
    </row>
    <row r="42" spans="8:62" x14ac:dyDescent="0.25">
      <c r="H42">
        <f>14-7-1-2-1</f>
        <v>3</v>
      </c>
      <c r="K42" t="s">
        <v>704</v>
      </c>
      <c r="AG42" t="s">
        <v>626</v>
      </c>
      <c r="AH42">
        <f>10-1-6-1</f>
        <v>2</v>
      </c>
      <c r="AI42">
        <f t="shared" ref="AI42:AI47" si="6">AH42-4</f>
        <v>-2</v>
      </c>
      <c r="AJ42">
        <f t="shared" ref="AJ42:AJ47" si="7">-15+12</f>
        <v>-3</v>
      </c>
      <c r="AK42">
        <f t="shared" ref="AK42:AK47" si="8">AI42-AJ42</f>
        <v>1</v>
      </c>
      <c r="AL42">
        <f>(20-AK42)/20</f>
        <v>0.95</v>
      </c>
      <c r="AM42">
        <f>6.5+6.5+2+4</f>
        <v>19</v>
      </c>
      <c r="AN42">
        <v>10</v>
      </c>
      <c r="AO42">
        <f t="shared" ref="AO42:AO47" si="9">AN42*AM42*AL42</f>
        <v>180.5</v>
      </c>
      <c r="AP42">
        <f t="shared" ref="AP42:AP47" si="10">AO42*0.5</f>
        <v>90.25</v>
      </c>
    </row>
    <row r="43" spans="8:62" x14ac:dyDescent="0.25">
      <c r="K43" t="s">
        <v>706</v>
      </c>
      <c r="AG43" t="s">
        <v>630</v>
      </c>
      <c r="AH43">
        <f>9-4-5</f>
        <v>0</v>
      </c>
      <c r="AI43">
        <f t="shared" si="6"/>
        <v>-4</v>
      </c>
      <c r="AJ43">
        <f t="shared" si="7"/>
        <v>-3</v>
      </c>
      <c r="AK43">
        <f t="shared" si="8"/>
        <v>-1</v>
      </c>
      <c r="AL43">
        <v>0.95</v>
      </c>
      <c r="AM43">
        <f>4.5+4+4+10</f>
        <v>22.5</v>
      </c>
      <c r="AN43">
        <v>4</v>
      </c>
      <c r="AO43">
        <f t="shared" si="9"/>
        <v>85.5</v>
      </c>
      <c r="AP43">
        <f t="shared" si="10"/>
        <v>42.75</v>
      </c>
    </row>
    <row r="44" spans="8:62" x14ac:dyDescent="0.25">
      <c r="H44">
        <f>-11-3</f>
        <v>-14</v>
      </c>
      <c r="K44" t="s">
        <v>707</v>
      </c>
      <c r="AG44" t="s">
        <v>694</v>
      </c>
      <c r="AH44">
        <f>13-7</f>
        <v>6</v>
      </c>
      <c r="AI44">
        <f t="shared" si="6"/>
        <v>2</v>
      </c>
      <c r="AJ44">
        <f t="shared" si="7"/>
        <v>-3</v>
      </c>
      <c r="AK44">
        <f t="shared" si="8"/>
        <v>5</v>
      </c>
      <c r="AL44">
        <f>(20-AK44)/20</f>
        <v>0.75</v>
      </c>
      <c r="AM44">
        <f>54+1+4</f>
        <v>59</v>
      </c>
      <c r="AN44">
        <v>4</v>
      </c>
      <c r="AO44">
        <f t="shared" si="9"/>
        <v>177</v>
      </c>
      <c r="AP44">
        <f t="shared" si="10"/>
        <v>88.5</v>
      </c>
    </row>
    <row r="45" spans="8:62" x14ac:dyDescent="0.25">
      <c r="H45">
        <f>14/20</f>
        <v>0.7</v>
      </c>
      <c r="K45" t="s">
        <v>705</v>
      </c>
      <c r="AG45" t="s">
        <v>631</v>
      </c>
      <c r="AH45">
        <f>14-2-3-2</f>
        <v>7</v>
      </c>
      <c r="AI45">
        <f t="shared" si="6"/>
        <v>3</v>
      </c>
      <c r="AJ45">
        <f t="shared" si="7"/>
        <v>-3</v>
      </c>
      <c r="AK45">
        <f t="shared" si="8"/>
        <v>6</v>
      </c>
      <c r="AL45">
        <f>(20-AK45)/20</f>
        <v>0.7</v>
      </c>
      <c r="AM45">
        <f>2+3+4</f>
        <v>9</v>
      </c>
      <c r="AN45">
        <v>6</v>
      </c>
      <c r="AO45">
        <f t="shared" si="9"/>
        <v>37.799999999999997</v>
      </c>
      <c r="AP45">
        <f t="shared" si="10"/>
        <v>18.899999999999999</v>
      </c>
      <c r="BI45">
        <f>10+4+4+10+5</f>
        <v>33</v>
      </c>
      <c r="BJ45">
        <f>BI45-4</f>
        <v>29</v>
      </c>
    </row>
    <row r="46" spans="8:62" x14ac:dyDescent="0.25">
      <c r="K46" t="s">
        <v>708</v>
      </c>
      <c r="AG46" t="s">
        <v>629</v>
      </c>
      <c r="AH46">
        <f>13-2-1</f>
        <v>10</v>
      </c>
      <c r="AI46">
        <f t="shared" si="6"/>
        <v>6</v>
      </c>
      <c r="AJ46">
        <f t="shared" si="7"/>
        <v>-3</v>
      </c>
      <c r="AK46">
        <f t="shared" si="8"/>
        <v>9</v>
      </c>
      <c r="AL46">
        <f>(20-AK46)/20</f>
        <v>0.55000000000000004</v>
      </c>
      <c r="AM46">
        <f>3.5+1+4</f>
        <v>8.5</v>
      </c>
      <c r="AN46">
        <v>6</v>
      </c>
      <c r="AO46">
        <f t="shared" si="9"/>
        <v>28.05</v>
      </c>
      <c r="AP46">
        <f t="shared" si="10"/>
        <v>14.025</v>
      </c>
      <c r="BI46">
        <f>10-4-4-5-10</f>
        <v>-13</v>
      </c>
      <c r="BJ46">
        <f>BI46+4</f>
        <v>-9</v>
      </c>
    </row>
    <row r="47" spans="8:62" x14ac:dyDescent="0.25">
      <c r="I47">
        <f>0.3*(56)*6</f>
        <v>100.80000000000001</v>
      </c>
      <c r="K47" t="s">
        <v>709</v>
      </c>
      <c r="AG47" t="s">
        <v>633</v>
      </c>
      <c r="AH47">
        <f>3-6-4</f>
        <v>-7</v>
      </c>
      <c r="AI47">
        <f t="shared" si="6"/>
        <v>-11</v>
      </c>
      <c r="AJ47">
        <f t="shared" si="7"/>
        <v>-3</v>
      </c>
      <c r="AK47">
        <f t="shared" si="8"/>
        <v>-8</v>
      </c>
      <c r="AL47">
        <v>0.95</v>
      </c>
      <c r="AM47">
        <f>5+4+12+4</f>
        <v>25</v>
      </c>
      <c r="AN47">
        <v>2</v>
      </c>
      <c r="AO47">
        <f t="shared" si="9"/>
        <v>47.5</v>
      </c>
      <c r="AP47">
        <f t="shared" si="10"/>
        <v>23.75</v>
      </c>
      <c r="BD47">
        <v>1</v>
      </c>
      <c r="BG47">
        <f t="shared" ref="BG47:BG54" si="11">BD47+BF47</f>
        <v>1</v>
      </c>
    </row>
    <row r="48" spans="8:62" x14ac:dyDescent="0.25">
      <c r="I48">
        <f>I47/2</f>
        <v>50.400000000000006</v>
      </c>
      <c r="K48" t="s">
        <v>710</v>
      </c>
      <c r="AE48">
        <f>8*2</f>
        <v>16</v>
      </c>
      <c r="AP48">
        <f>SUM(AP42:AP47)</f>
        <v>278.17500000000001</v>
      </c>
      <c r="AZ48">
        <f>4.5+4+2+2+10</f>
        <v>22.5</v>
      </c>
      <c r="BA48">
        <f>4.5+2+2+2+10</f>
        <v>20.5</v>
      </c>
      <c r="BB48">
        <f>AZ48*8+BA48*2</f>
        <v>221</v>
      </c>
      <c r="BD48">
        <v>1</v>
      </c>
      <c r="BE48">
        <v>1</v>
      </c>
      <c r="BG48">
        <f t="shared" si="11"/>
        <v>1</v>
      </c>
    </row>
    <row r="49" spans="9:62" x14ac:dyDescent="0.25">
      <c r="K49" t="s">
        <v>711</v>
      </c>
      <c r="AZ49">
        <f>4.5+4+2+2+10</f>
        <v>22.5</v>
      </c>
      <c r="BB49">
        <f>AZ49*10</f>
        <v>225</v>
      </c>
      <c r="BD49">
        <v>1</v>
      </c>
      <c r="BE49">
        <v>1</v>
      </c>
      <c r="BF49">
        <f t="shared" ref="BF49:BF54" si="12">BE48+BE49</f>
        <v>2</v>
      </c>
      <c r="BG49">
        <f t="shared" si="11"/>
        <v>3</v>
      </c>
    </row>
    <row r="50" spans="9:62" x14ac:dyDescent="0.25">
      <c r="K50" t="s">
        <v>712</v>
      </c>
      <c r="AA50">
        <f>10-4-1-5-1</f>
        <v>-1</v>
      </c>
      <c r="AB50">
        <f>AB51+AE51</f>
        <v>8.16</v>
      </c>
      <c r="AC50">
        <f>AA50-AB50</f>
        <v>-9.16</v>
      </c>
      <c r="AD50">
        <v>1</v>
      </c>
      <c r="AE50">
        <f>AD50*8*2</f>
        <v>16</v>
      </c>
      <c r="AG50" t="s">
        <v>825</v>
      </c>
      <c r="BD50">
        <v>1</v>
      </c>
      <c r="BE50">
        <v>1</v>
      </c>
      <c r="BF50">
        <f t="shared" si="12"/>
        <v>2</v>
      </c>
      <c r="BG50">
        <f t="shared" si="11"/>
        <v>3</v>
      </c>
    </row>
    <row r="51" spans="9:62" x14ac:dyDescent="0.25">
      <c r="K51" t="s">
        <v>717</v>
      </c>
      <c r="AA51">
        <f>10-4-1-5-1</f>
        <v>-1</v>
      </c>
      <c r="AB51">
        <f>AB52+AE52</f>
        <v>-4.8</v>
      </c>
      <c r="AC51">
        <f>AA51-AB51</f>
        <v>3.8</v>
      </c>
      <c r="AD51">
        <f>(20-AC51)/20</f>
        <v>0.80999999999999994</v>
      </c>
      <c r="AE51">
        <f>AD51*8*2</f>
        <v>12.959999999999999</v>
      </c>
      <c r="AG51" t="s">
        <v>1280</v>
      </c>
      <c r="AM51">
        <f>4.5+4+2+4</f>
        <v>14.5</v>
      </c>
      <c r="AR51">
        <f>10/6</f>
        <v>1.6666666666666667</v>
      </c>
      <c r="BD51">
        <v>1</v>
      </c>
      <c r="BE51">
        <v>1</v>
      </c>
      <c r="BF51">
        <f t="shared" si="12"/>
        <v>2</v>
      </c>
      <c r="BG51">
        <f t="shared" si="11"/>
        <v>3</v>
      </c>
      <c r="BI51">
        <f>4.5+4+10+2</f>
        <v>20.5</v>
      </c>
      <c r="BJ51">
        <f>BI51*5</f>
        <v>102.5</v>
      </c>
    </row>
    <row r="52" spans="9:62" x14ac:dyDescent="0.25">
      <c r="K52" t="s">
        <v>713</v>
      </c>
      <c r="AA52">
        <f>10-4-1-5-1</f>
        <v>-1</v>
      </c>
      <c r="AB52">
        <f>AB53+AE53</f>
        <v>-12</v>
      </c>
      <c r="AC52">
        <f>AA52-AB52</f>
        <v>11</v>
      </c>
      <c r="AD52">
        <f>(20-AC52)/20</f>
        <v>0.45</v>
      </c>
      <c r="AE52">
        <f>AD52*8*2</f>
        <v>7.2</v>
      </c>
      <c r="AI52" t="s">
        <v>821</v>
      </c>
      <c r="AJ52" t="s">
        <v>1126</v>
      </c>
      <c r="AK52" t="s">
        <v>1277</v>
      </c>
      <c r="AL52" t="s">
        <v>496</v>
      </c>
      <c r="AM52" t="s">
        <v>1278</v>
      </c>
      <c r="AN52" t="s">
        <v>509</v>
      </c>
      <c r="AR52">
        <f>AR51*8</f>
        <v>13.333333333333334</v>
      </c>
      <c r="AV52" t="s">
        <v>821</v>
      </c>
      <c r="AW52" t="s">
        <v>1126</v>
      </c>
      <c r="AX52" t="s">
        <v>1277</v>
      </c>
      <c r="AY52" t="s">
        <v>496</v>
      </c>
      <c r="AZ52" t="s">
        <v>1278</v>
      </c>
      <c r="BA52" t="s">
        <v>509</v>
      </c>
      <c r="BD52">
        <v>1</v>
      </c>
      <c r="BE52">
        <v>1</v>
      </c>
      <c r="BF52">
        <f t="shared" si="12"/>
        <v>2</v>
      </c>
      <c r="BG52">
        <f t="shared" si="11"/>
        <v>3</v>
      </c>
    </row>
    <row r="53" spans="9:62" x14ac:dyDescent="0.25">
      <c r="K53" t="s">
        <v>714</v>
      </c>
      <c r="AA53">
        <f>10-4-1-5-1</f>
        <v>-1</v>
      </c>
      <c r="AB53">
        <v>-16</v>
      </c>
      <c r="AC53">
        <f>AA53-AB53</f>
        <v>15</v>
      </c>
      <c r="AD53">
        <f>(20-AC53)/20</f>
        <v>0.25</v>
      </c>
      <c r="AE53">
        <f>AD53*8*2</f>
        <v>4</v>
      </c>
      <c r="AG53" t="s">
        <v>626</v>
      </c>
      <c r="AI53">
        <f>10-1-6-1</f>
        <v>2</v>
      </c>
      <c r="AJ53">
        <f t="shared" ref="AJ53:AJ58" si="13">-16+16</f>
        <v>0</v>
      </c>
      <c r="AK53">
        <f t="shared" ref="AK53:AK58" si="14">AI53-AJ53</f>
        <v>2</v>
      </c>
      <c r="AL53">
        <f t="shared" ref="AL53:AL58" si="15">(20-AK53)/20</f>
        <v>0.9</v>
      </c>
      <c r="AM53">
        <f>6.5+6.5+2</f>
        <v>15</v>
      </c>
      <c r="AN53">
        <v>10</v>
      </c>
      <c r="AO53">
        <f t="shared" ref="AO53:AO58" si="16">AN53*AM53*AL53</f>
        <v>135</v>
      </c>
      <c r="AT53" t="s">
        <v>626</v>
      </c>
      <c r="AU53" t="s">
        <v>1308</v>
      </c>
      <c r="AV53">
        <f>10-1-4</f>
        <v>5</v>
      </c>
      <c r="AW53">
        <f t="shared" ref="AW53:AW58" si="17">-16+16</f>
        <v>0</v>
      </c>
      <c r="AX53">
        <f t="shared" ref="AX53:AX58" si="18">AV53-AW53</f>
        <v>5</v>
      </c>
      <c r="AY53">
        <f t="shared" ref="AY53:AY58" si="19">(20-AX53)/20</f>
        <v>0.75</v>
      </c>
      <c r="AZ53">
        <f>4.5+4+2+2</f>
        <v>12.5</v>
      </c>
      <c r="BA53">
        <v>9</v>
      </c>
      <c r="BB53">
        <f t="shared" ref="BB53:BB58" si="20">BA53*AZ53*AY53</f>
        <v>84.375</v>
      </c>
      <c r="BD53">
        <v>1</v>
      </c>
      <c r="BF53">
        <f t="shared" si="12"/>
        <v>1</v>
      </c>
      <c r="BG53">
        <f t="shared" si="11"/>
        <v>2</v>
      </c>
    </row>
    <row r="54" spans="9:62" x14ac:dyDescent="0.25">
      <c r="K54" t="s">
        <v>715</v>
      </c>
      <c r="AE54">
        <f>6*2</f>
        <v>12</v>
      </c>
      <c r="AG54" t="s">
        <v>630</v>
      </c>
      <c r="AI54">
        <f>9-4-5</f>
        <v>0</v>
      </c>
      <c r="AJ54">
        <f t="shared" si="13"/>
        <v>0</v>
      </c>
      <c r="AK54">
        <f t="shared" si="14"/>
        <v>0</v>
      </c>
      <c r="AL54">
        <f t="shared" si="15"/>
        <v>1</v>
      </c>
      <c r="AM54">
        <f>4.5+4+10</f>
        <v>18.5</v>
      </c>
      <c r="AN54">
        <v>8</v>
      </c>
      <c r="AO54">
        <f t="shared" si="16"/>
        <v>148</v>
      </c>
      <c r="AT54" t="s">
        <v>630</v>
      </c>
      <c r="AU54" t="s">
        <v>1310</v>
      </c>
      <c r="AV54">
        <f>9-6-5</f>
        <v>-2</v>
      </c>
      <c r="AW54">
        <f t="shared" si="17"/>
        <v>0</v>
      </c>
      <c r="AX54">
        <f t="shared" si="18"/>
        <v>-2</v>
      </c>
      <c r="AY54">
        <f t="shared" si="19"/>
        <v>1.1000000000000001</v>
      </c>
      <c r="AZ54">
        <f>3.5+6+10+((3.5+5)*0.1*3)</f>
        <v>22.05</v>
      </c>
      <c r="BA54">
        <v>8</v>
      </c>
      <c r="BB54">
        <f t="shared" si="20"/>
        <v>194.04000000000002</v>
      </c>
      <c r="BD54">
        <v>1</v>
      </c>
      <c r="BF54">
        <f t="shared" si="12"/>
        <v>0</v>
      </c>
      <c r="BG54">
        <f t="shared" si="11"/>
        <v>1</v>
      </c>
    </row>
    <row r="55" spans="9:62" x14ac:dyDescent="0.25">
      <c r="J55">
        <f>2.5+5+5.5</f>
        <v>13</v>
      </c>
      <c r="K55" t="s">
        <v>719</v>
      </c>
      <c r="AE55">
        <f>9*15</f>
        <v>135</v>
      </c>
      <c r="AG55" t="s">
        <v>694</v>
      </c>
      <c r="AI55">
        <f>13-7</f>
        <v>6</v>
      </c>
      <c r="AJ55">
        <f t="shared" si="13"/>
        <v>0</v>
      </c>
      <c r="AK55">
        <f t="shared" si="14"/>
        <v>6</v>
      </c>
      <c r="AL55">
        <f t="shared" si="15"/>
        <v>0.7</v>
      </c>
      <c r="AM55">
        <f>54+1</f>
        <v>55</v>
      </c>
      <c r="AN55">
        <v>4</v>
      </c>
      <c r="AO55">
        <f t="shared" si="16"/>
        <v>154</v>
      </c>
      <c r="AT55" t="s">
        <v>694</v>
      </c>
      <c r="AU55" t="s">
        <v>1185</v>
      </c>
      <c r="AV55">
        <f>13-7</f>
        <v>6</v>
      </c>
      <c r="AW55">
        <f t="shared" si="17"/>
        <v>0</v>
      </c>
      <c r="AX55">
        <f t="shared" si="18"/>
        <v>6</v>
      </c>
      <c r="AY55">
        <f t="shared" si="19"/>
        <v>0.7</v>
      </c>
      <c r="AZ55">
        <f>54+1</f>
        <v>55</v>
      </c>
      <c r="BA55">
        <v>4</v>
      </c>
      <c r="BB55">
        <f t="shared" si="20"/>
        <v>154</v>
      </c>
    </row>
    <row r="56" spans="9:62" x14ac:dyDescent="0.25">
      <c r="J56">
        <f>13*15</f>
        <v>195</v>
      </c>
      <c r="K56" t="s">
        <v>716</v>
      </c>
      <c r="AA56">
        <v>18</v>
      </c>
      <c r="AB56">
        <v>18</v>
      </c>
      <c r="AG56" t="s">
        <v>631</v>
      </c>
      <c r="AI56">
        <f>14-2-1</f>
        <v>11</v>
      </c>
      <c r="AJ56">
        <f t="shared" si="13"/>
        <v>0</v>
      </c>
      <c r="AK56">
        <f t="shared" si="14"/>
        <v>11</v>
      </c>
      <c r="AL56">
        <f t="shared" si="15"/>
        <v>0.45</v>
      </c>
      <c r="AM56">
        <f>2+3</f>
        <v>5</v>
      </c>
      <c r="AN56">
        <v>6</v>
      </c>
      <c r="AO56">
        <f t="shared" si="16"/>
        <v>13.5</v>
      </c>
      <c r="AT56" t="s">
        <v>631</v>
      </c>
      <c r="AU56" t="s">
        <v>825</v>
      </c>
      <c r="AV56">
        <f>14-2-6-2</f>
        <v>4</v>
      </c>
      <c r="AW56">
        <f t="shared" si="17"/>
        <v>0</v>
      </c>
      <c r="AX56">
        <f t="shared" si="18"/>
        <v>4</v>
      </c>
      <c r="AY56">
        <f t="shared" si="19"/>
        <v>0.8</v>
      </c>
      <c r="AZ56">
        <f>4.5+4+2</f>
        <v>10.5</v>
      </c>
      <c r="BA56">
        <v>8</v>
      </c>
      <c r="BB56">
        <f t="shared" si="20"/>
        <v>67.2</v>
      </c>
      <c r="BE56">
        <f>5.5+4+5+10</f>
        <v>24.5</v>
      </c>
      <c r="BF56">
        <f>BE56*30</f>
        <v>735</v>
      </c>
    </row>
    <row r="57" spans="9:62" x14ac:dyDescent="0.25">
      <c r="AA57">
        <v>9</v>
      </c>
      <c r="AB57">
        <v>18</v>
      </c>
      <c r="AG57" t="s">
        <v>629</v>
      </c>
      <c r="AI57">
        <f>13-2-1-2</f>
        <v>8</v>
      </c>
      <c r="AJ57">
        <f t="shared" si="13"/>
        <v>0</v>
      </c>
      <c r="AK57">
        <f t="shared" si="14"/>
        <v>8</v>
      </c>
      <c r="AL57">
        <f t="shared" si="15"/>
        <v>0.6</v>
      </c>
      <c r="AM57">
        <f>3.5+1</f>
        <v>4.5</v>
      </c>
      <c r="AN57">
        <v>6</v>
      </c>
      <c r="AO57">
        <f t="shared" si="16"/>
        <v>16.2</v>
      </c>
      <c r="AT57" t="s">
        <v>629</v>
      </c>
      <c r="AU57" t="s">
        <v>1022</v>
      </c>
      <c r="AV57">
        <f>13-2-1-5</f>
        <v>5</v>
      </c>
      <c r="AW57">
        <f t="shared" si="17"/>
        <v>0</v>
      </c>
      <c r="AX57">
        <f t="shared" si="18"/>
        <v>5</v>
      </c>
      <c r="AY57">
        <f t="shared" si="19"/>
        <v>0.75</v>
      </c>
      <c r="AZ57">
        <f>4.5+4+1</f>
        <v>9.5</v>
      </c>
      <c r="BA57">
        <v>8</v>
      </c>
      <c r="BB57">
        <f t="shared" si="20"/>
        <v>57</v>
      </c>
      <c r="BE57">
        <f>BE56*10</f>
        <v>245</v>
      </c>
    </row>
    <row r="58" spans="9:62" x14ac:dyDescent="0.25">
      <c r="I58">
        <f>14-1-2-3-7</f>
        <v>1</v>
      </c>
      <c r="K58" t="s">
        <v>718</v>
      </c>
      <c r="AA58">
        <v>18</v>
      </c>
      <c r="AB58">
        <v>18</v>
      </c>
      <c r="AG58" t="s">
        <v>633</v>
      </c>
      <c r="AI58">
        <f>3-6-4</f>
        <v>-7</v>
      </c>
      <c r="AJ58">
        <f t="shared" si="13"/>
        <v>0</v>
      </c>
      <c r="AK58">
        <f t="shared" si="14"/>
        <v>-7</v>
      </c>
      <c r="AL58">
        <f t="shared" si="15"/>
        <v>1.35</v>
      </c>
      <c r="AM58">
        <f>5+4+12</f>
        <v>21</v>
      </c>
      <c r="AN58">
        <v>2</v>
      </c>
      <c r="AO58">
        <f t="shared" si="16"/>
        <v>56.7</v>
      </c>
      <c r="AT58" t="s">
        <v>633</v>
      </c>
      <c r="AU58" t="s">
        <v>1309</v>
      </c>
      <c r="AV58">
        <f>3-6-4</f>
        <v>-7</v>
      </c>
      <c r="AW58">
        <f t="shared" si="17"/>
        <v>0</v>
      </c>
      <c r="AX58">
        <f t="shared" si="18"/>
        <v>-7</v>
      </c>
      <c r="AY58">
        <f t="shared" si="19"/>
        <v>1.35</v>
      </c>
      <c r="AZ58">
        <f>8+4+14</f>
        <v>26</v>
      </c>
      <c r="BA58">
        <v>8</v>
      </c>
      <c r="BB58">
        <f t="shared" si="20"/>
        <v>280.8</v>
      </c>
    </row>
    <row r="59" spans="9:62" x14ac:dyDescent="0.25">
      <c r="K59" t="s">
        <v>720</v>
      </c>
      <c r="AA59">
        <v>17</v>
      </c>
      <c r="AB59">
        <v>17</v>
      </c>
      <c r="BE59">
        <f>1-1-1-5-4</f>
        <v>-10</v>
      </c>
      <c r="BF59">
        <f>10-6-3-2-1-2</f>
        <v>-4</v>
      </c>
    </row>
    <row r="60" spans="9:62" x14ac:dyDescent="0.25">
      <c r="K60" t="s">
        <v>721</v>
      </c>
      <c r="AA60">
        <v>18</v>
      </c>
      <c r="AB60">
        <v>16</v>
      </c>
      <c r="AI60" t="s">
        <v>821</v>
      </c>
      <c r="AJ60" t="s">
        <v>1126</v>
      </c>
      <c r="AK60" t="s">
        <v>1277</v>
      </c>
      <c r="AL60" t="s">
        <v>496</v>
      </c>
      <c r="AM60" t="s">
        <v>1278</v>
      </c>
      <c r="AN60" t="s">
        <v>509</v>
      </c>
      <c r="AP60" t="s">
        <v>1281</v>
      </c>
      <c r="AV60" t="s">
        <v>821</v>
      </c>
      <c r="AW60" t="s">
        <v>1126</v>
      </c>
      <c r="AX60" t="s">
        <v>1277</v>
      </c>
      <c r="AY60" t="s">
        <v>496</v>
      </c>
      <c r="AZ60" t="s">
        <v>1278</v>
      </c>
      <c r="BA60" t="s">
        <v>509</v>
      </c>
      <c r="BC60" t="s">
        <v>1281</v>
      </c>
      <c r="BF60">
        <f>10-5-1-5-1</f>
        <v>-2</v>
      </c>
      <c r="BH60">
        <f>10-10-1-1-4-5</f>
        <v>-11</v>
      </c>
    </row>
    <row r="61" spans="9:62" x14ac:dyDescent="0.25">
      <c r="K61" t="s">
        <v>722</v>
      </c>
      <c r="AA61">
        <v>10</v>
      </c>
      <c r="AB61">
        <v>3</v>
      </c>
      <c r="AG61" t="s">
        <v>626</v>
      </c>
      <c r="AI61">
        <f>10-1-6-1</f>
        <v>2</v>
      </c>
      <c r="AJ61">
        <f t="shared" ref="AJ61:AJ66" si="21">-16+16</f>
        <v>0</v>
      </c>
      <c r="AK61">
        <f t="shared" ref="AK61:AK66" si="22">AI61-AJ61</f>
        <v>2</v>
      </c>
      <c r="AL61">
        <f>(20-AK61)/20</f>
        <v>0.9</v>
      </c>
      <c r="AM61">
        <f>6.5+6.5+2</f>
        <v>15</v>
      </c>
      <c r="AN61">
        <v>10</v>
      </c>
      <c r="AO61">
        <f t="shared" ref="AO61:AO66" si="23">AN61*AM61*AL61</f>
        <v>135</v>
      </c>
      <c r="AP61">
        <f t="shared" ref="AP61:AP66" si="24">AO61*0.5</f>
        <v>67.5</v>
      </c>
      <c r="AT61" t="s">
        <v>626</v>
      </c>
      <c r="AV61">
        <f>10-1-4</f>
        <v>5</v>
      </c>
      <c r="AW61">
        <f t="shared" ref="AW61:AW66" si="25">-16+16</f>
        <v>0</v>
      </c>
      <c r="AX61">
        <f t="shared" ref="AX61:AX66" si="26">AV61-AW61</f>
        <v>5</v>
      </c>
      <c r="AY61">
        <f>(20-AX61)/20</f>
        <v>0.75</v>
      </c>
      <c r="AZ61">
        <f>4.5+4+2+2</f>
        <v>12.5</v>
      </c>
      <c r="BA61">
        <v>9</v>
      </c>
      <c r="BB61">
        <f t="shared" ref="BB61:BB66" si="27">BA61*AZ61*AY61</f>
        <v>84.375</v>
      </c>
      <c r="BC61">
        <f t="shared" ref="BC61:BC66" si="28">BB61*0.5</f>
        <v>42.1875</v>
      </c>
    </row>
    <row r="62" spans="9:62" x14ac:dyDescent="0.25">
      <c r="AA62">
        <f>SUM(AA56:AA61)</f>
        <v>90</v>
      </c>
      <c r="AB62">
        <f>SUM(AB56:AB61)</f>
        <v>90</v>
      </c>
      <c r="AG62" t="s">
        <v>630</v>
      </c>
      <c r="AI62">
        <f>9-4-5</f>
        <v>0</v>
      </c>
      <c r="AJ62">
        <f t="shared" si="21"/>
        <v>0</v>
      </c>
      <c r="AK62">
        <f t="shared" si="22"/>
        <v>0</v>
      </c>
      <c r="AL62">
        <v>0.95</v>
      </c>
      <c r="AM62">
        <f>4.5+4+10</f>
        <v>18.5</v>
      </c>
      <c r="AN62">
        <v>8</v>
      </c>
      <c r="AO62">
        <f t="shared" si="23"/>
        <v>140.6</v>
      </c>
      <c r="AP62">
        <f t="shared" si="24"/>
        <v>70.3</v>
      </c>
      <c r="AT62" t="s">
        <v>630</v>
      </c>
      <c r="AV62">
        <f>9-6-5</f>
        <v>-2</v>
      </c>
      <c r="AW62">
        <f t="shared" si="25"/>
        <v>0</v>
      </c>
      <c r="AX62">
        <f t="shared" si="26"/>
        <v>-2</v>
      </c>
      <c r="AY62">
        <v>0.95</v>
      </c>
      <c r="AZ62">
        <f>3.5+6+10+((3.5+5)*0.1*3)</f>
        <v>22.05</v>
      </c>
      <c r="BA62">
        <v>8</v>
      </c>
      <c r="BB62">
        <f t="shared" si="27"/>
        <v>167.57999999999998</v>
      </c>
      <c r="BC62">
        <f t="shared" si="28"/>
        <v>83.789999999999992</v>
      </c>
    </row>
    <row r="63" spans="9:62" x14ac:dyDescent="0.25">
      <c r="K63" t="s">
        <v>723</v>
      </c>
      <c r="AG63" t="s">
        <v>694</v>
      </c>
      <c r="AI63">
        <f>13-7</f>
        <v>6</v>
      </c>
      <c r="AJ63">
        <f t="shared" si="21"/>
        <v>0</v>
      </c>
      <c r="AK63">
        <f t="shared" si="22"/>
        <v>6</v>
      </c>
      <c r="AL63">
        <f>(20-AK63)/20</f>
        <v>0.7</v>
      </c>
      <c r="AM63">
        <f>54+1</f>
        <v>55</v>
      </c>
      <c r="AN63">
        <v>4</v>
      </c>
      <c r="AO63">
        <f t="shared" si="23"/>
        <v>154</v>
      </c>
      <c r="AP63">
        <f t="shared" si="24"/>
        <v>77</v>
      </c>
      <c r="AT63" t="s">
        <v>694</v>
      </c>
      <c r="AV63">
        <f>13-7</f>
        <v>6</v>
      </c>
      <c r="AW63">
        <f t="shared" si="25"/>
        <v>0</v>
      </c>
      <c r="AX63">
        <f t="shared" si="26"/>
        <v>6</v>
      </c>
      <c r="AY63">
        <f>(20-AX63)/20</f>
        <v>0.7</v>
      </c>
      <c r="AZ63">
        <f>54+1</f>
        <v>55</v>
      </c>
      <c r="BA63">
        <v>4</v>
      </c>
      <c r="BB63">
        <f t="shared" si="27"/>
        <v>154</v>
      </c>
      <c r="BC63">
        <f t="shared" si="28"/>
        <v>77</v>
      </c>
    </row>
    <row r="64" spans="9:62" x14ac:dyDescent="0.25">
      <c r="K64" t="s">
        <v>724</v>
      </c>
      <c r="AG64" t="s">
        <v>631</v>
      </c>
      <c r="AI64">
        <f>14-2-1</f>
        <v>11</v>
      </c>
      <c r="AJ64">
        <f t="shared" si="21"/>
        <v>0</v>
      </c>
      <c r="AK64">
        <f t="shared" si="22"/>
        <v>11</v>
      </c>
      <c r="AL64">
        <f>(20-AK64)/20</f>
        <v>0.45</v>
      </c>
      <c r="AM64">
        <f>2+3</f>
        <v>5</v>
      </c>
      <c r="AN64">
        <v>6</v>
      </c>
      <c r="AO64">
        <f t="shared" si="23"/>
        <v>13.5</v>
      </c>
      <c r="AP64">
        <f t="shared" si="24"/>
        <v>6.75</v>
      </c>
      <c r="AT64" t="s">
        <v>631</v>
      </c>
      <c r="AV64">
        <f>14-2-6-2</f>
        <v>4</v>
      </c>
      <c r="AW64">
        <f t="shared" si="25"/>
        <v>0</v>
      </c>
      <c r="AX64">
        <f t="shared" si="26"/>
        <v>4</v>
      </c>
      <c r="AY64">
        <f>(20-AX64)/20</f>
        <v>0.8</v>
      </c>
      <c r="AZ64">
        <f>4.5+4+2</f>
        <v>10.5</v>
      </c>
      <c r="BA64">
        <v>8</v>
      </c>
      <c r="BB64">
        <f t="shared" si="27"/>
        <v>67.2</v>
      </c>
      <c r="BC64">
        <f t="shared" si="28"/>
        <v>33.6</v>
      </c>
    </row>
    <row r="65" spans="1:58" x14ac:dyDescent="0.25">
      <c r="I65">
        <f>2*3*4*(5.5+3)</f>
        <v>204</v>
      </c>
      <c r="AG65" t="s">
        <v>629</v>
      </c>
      <c r="AI65">
        <f>13-2-1-2</f>
        <v>8</v>
      </c>
      <c r="AJ65">
        <f t="shared" si="21"/>
        <v>0</v>
      </c>
      <c r="AK65">
        <f t="shared" si="22"/>
        <v>8</v>
      </c>
      <c r="AL65">
        <f>(20-AK65)/20</f>
        <v>0.6</v>
      </c>
      <c r="AM65">
        <f>3.5+1</f>
        <v>4.5</v>
      </c>
      <c r="AN65">
        <v>6</v>
      </c>
      <c r="AO65">
        <f t="shared" si="23"/>
        <v>16.2</v>
      </c>
      <c r="AP65">
        <f t="shared" si="24"/>
        <v>8.1</v>
      </c>
      <c r="AT65" t="s">
        <v>629</v>
      </c>
      <c r="AV65">
        <f>13-2-1-5</f>
        <v>5</v>
      </c>
      <c r="AW65">
        <f t="shared" si="25"/>
        <v>0</v>
      </c>
      <c r="AX65">
        <f t="shared" si="26"/>
        <v>5</v>
      </c>
      <c r="AY65">
        <f>(20-AX65)/20</f>
        <v>0.75</v>
      </c>
      <c r="AZ65">
        <f>4.5+4+1</f>
        <v>9.5</v>
      </c>
      <c r="BA65">
        <v>8</v>
      </c>
      <c r="BB65">
        <f t="shared" si="27"/>
        <v>57</v>
      </c>
      <c r="BC65">
        <f t="shared" si="28"/>
        <v>28.5</v>
      </c>
      <c r="BF65">
        <f>25*0.6</f>
        <v>15</v>
      </c>
    </row>
    <row r="66" spans="1:58" x14ac:dyDescent="0.25">
      <c r="G66">
        <f>0-7-1</f>
        <v>-8</v>
      </c>
      <c r="AG66" t="s">
        <v>633</v>
      </c>
      <c r="AI66">
        <f>3-6-4</f>
        <v>-7</v>
      </c>
      <c r="AJ66">
        <f t="shared" si="21"/>
        <v>0</v>
      </c>
      <c r="AK66">
        <f t="shared" si="22"/>
        <v>-7</v>
      </c>
      <c r="AL66">
        <v>0.95</v>
      </c>
      <c r="AM66">
        <f>5+4+12</f>
        <v>21</v>
      </c>
      <c r="AN66">
        <v>2</v>
      </c>
      <c r="AO66">
        <f t="shared" si="23"/>
        <v>39.9</v>
      </c>
      <c r="AP66">
        <f t="shared" si="24"/>
        <v>19.95</v>
      </c>
      <c r="AT66" t="s">
        <v>633</v>
      </c>
      <c r="AV66">
        <f>3-6-4</f>
        <v>-7</v>
      </c>
      <c r="AW66">
        <f t="shared" si="25"/>
        <v>0</v>
      </c>
      <c r="AX66">
        <f t="shared" si="26"/>
        <v>-7</v>
      </c>
      <c r="AY66">
        <v>0.95</v>
      </c>
      <c r="AZ66">
        <f>8+4+14</f>
        <v>26</v>
      </c>
      <c r="BA66">
        <v>8</v>
      </c>
      <c r="BB66">
        <f t="shared" si="27"/>
        <v>197.6</v>
      </c>
      <c r="BC66">
        <f t="shared" si="28"/>
        <v>98.8</v>
      </c>
    </row>
    <row r="67" spans="1:58" x14ac:dyDescent="0.25">
      <c r="G67">
        <f>12/20</f>
        <v>0.6</v>
      </c>
      <c r="P67">
        <f>(2.5+5+5.5)*19</f>
        <v>247</v>
      </c>
      <c r="AP67">
        <f>SUM(AP61:AP66)</f>
        <v>249.6</v>
      </c>
      <c r="AQ67">
        <f>AP67-30</f>
        <v>219.6</v>
      </c>
      <c r="BC67">
        <f>SUM(BC61:BC66)</f>
        <v>363.8775</v>
      </c>
      <c r="BD67">
        <f>BC67-30</f>
        <v>333.8775</v>
      </c>
    </row>
    <row r="68" spans="1:58" x14ac:dyDescent="0.25">
      <c r="I68">
        <v>20</v>
      </c>
      <c r="J68" t="s">
        <v>1185</v>
      </c>
      <c r="M68">
        <f>2.5+8+5+2</f>
        <v>17.5</v>
      </c>
      <c r="T68">
        <f>10-2-2-1-4</f>
        <v>1</v>
      </c>
      <c r="U68">
        <v>-15</v>
      </c>
      <c r="V68">
        <f>T68-U68</f>
        <v>16</v>
      </c>
      <c r="W68">
        <f>(20-V68)/20</f>
        <v>0.2</v>
      </c>
      <c r="X68">
        <f>W68*8</f>
        <v>1.6</v>
      </c>
      <c r="Y68">
        <f>X69*2</f>
        <v>3.2</v>
      </c>
      <c r="Z68">
        <f>Y68*5</f>
        <v>16</v>
      </c>
    </row>
    <row r="69" spans="1:58" x14ac:dyDescent="0.25">
      <c r="G69">
        <f>4.5+14</f>
        <v>18.5</v>
      </c>
      <c r="I69">
        <v>25</v>
      </c>
      <c r="J69" t="s">
        <v>1186</v>
      </c>
      <c r="M69">
        <f>M68*5</f>
        <v>87.5</v>
      </c>
      <c r="R69">
        <f>15*3+20</f>
        <v>65</v>
      </c>
      <c r="T69">
        <f>T68-4</f>
        <v>-3</v>
      </c>
      <c r="U69">
        <v>-15</v>
      </c>
      <c r="V69">
        <f>T69-U69</f>
        <v>12</v>
      </c>
      <c r="W69">
        <f>(20-V69)/20</f>
        <v>0.4</v>
      </c>
      <c r="X69">
        <f>4*W69</f>
        <v>1.6</v>
      </c>
      <c r="Y69">
        <f>X68*2</f>
        <v>3.2</v>
      </c>
      <c r="Z69">
        <f>Y69*5</f>
        <v>16</v>
      </c>
      <c r="AC69" t="s">
        <v>1185</v>
      </c>
      <c r="AD69">
        <v>-11</v>
      </c>
      <c r="AE69">
        <v>45</v>
      </c>
      <c r="AF69">
        <f>(100-AE69)*0.01</f>
        <v>0.55000000000000004</v>
      </c>
      <c r="AH69">
        <f>6.5+10+14</f>
        <v>30.5</v>
      </c>
      <c r="AI69">
        <f>AH69*6</f>
        <v>183</v>
      </c>
      <c r="AJ69">
        <f>AI69*AF69-AG69</f>
        <v>100.65</v>
      </c>
    </row>
    <row r="70" spans="1:58" x14ac:dyDescent="0.25">
      <c r="G70">
        <f>G69*10</f>
        <v>185</v>
      </c>
      <c r="I70">
        <v>20</v>
      </c>
      <c r="J70" t="s">
        <v>1187</v>
      </c>
      <c r="AC70" t="s">
        <v>1246</v>
      </c>
      <c r="AD70">
        <v>-9</v>
      </c>
      <c r="AE70">
        <v>75</v>
      </c>
      <c r="AF70">
        <f>(100-AE70)*0.01</f>
        <v>0.25</v>
      </c>
      <c r="AH70">
        <f>6.5+10+14</f>
        <v>30.5</v>
      </c>
      <c r="AI70">
        <f>AH70*6</f>
        <v>183</v>
      </c>
      <c r="AJ70">
        <f>AI70*AF70-AG70</f>
        <v>45.75</v>
      </c>
      <c r="AP70">
        <f>7/20</f>
        <v>0.35</v>
      </c>
      <c r="AQ70">
        <f>7/20</f>
        <v>0.35</v>
      </c>
      <c r="AR70">
        <f>11/20</f>
        <v>0.55000000000000004</v>
      </c>
    </row>
    <row r="71" spans="1:58" x14ac:dyDescent="0.25">
      <c r="G71">
        <f>G70*G67</f>
        <v>111</v>
      </c>
      <c r="I71">
        <v>20</v>
      </c>
      <c r="J71" t="s">
        <v>1188</v>
      </c>
      <c r="T71">
        <f>10-2-2-1-24</f>
        <v>-19</v>
      </c>
      <c r="U71">
        <v>-15</v>
      </c>
      <c r="V71">
        <f>T71-U71</f>
        <v>-4</v>
      </c>
      <c r="W71">
        <f>(20-V71)/20</f>
        <v>1.2</v>
      </c>
      <c r="X71">
        <f>W71*8</f>
        <v>9.6</v>
      </c>
      <c r="Y71">
        <f>X71*2</f>
        <v>19.2</v>
      </c>
      <c r="Z71">
        <f>Y71*5</f>
        <v>96</v>
      </c>
      <c r="AC71" t="s">
        <v>1247</v>
      </c>
      <c r="AD71">
        <v>-16</v>
      </c>
      <c r="AE71">
        <v>25</v>
      </c>
      <c r="AF71">
        <f>(100-AE71)*0.01</f>
        <v>0.75</v>
      </c>
      <c r="AG71">
        <v>48</v>
      </c>
      <c r="AH71">
        <f>6.5+10+14</f>
        <v>30.5</v>
      </c>
      <c r="AI71">
        <f>AH71*6</f>
        <v>183</v>
      </c>
      <c r="AJ71">
        <f>AI71*AF71*AF76-AG71</f>
        <v>41.212500000000006</v>
      </c>
      <c r="AP71">
        <f>1-AP70</f>
        <v>0.65</v>
      </c>
      <c r="AQ71">
        <f>1-AQ70</f>
        <v>0.65</v>
      </c>
      <c r="AR71">
        <f>1-AR70</f>
        <v>0.44999999999999996</v>
      </c>
      <c r="AV71" t="s">
        <v>1250</v>
      </c>
    </row>
    <row r="72" spans="1:58" x14ac:dyDescent="0.25">
      <c r="G72">
        <f>G71*0.75</f>
        <v>83.25</v>
      </c>
      <c r="I72">
        <v>25</v>
      </c>
      <c r="J72" t="s">
        <v>1189</v>
      </c>
      <c r="L72" t="s">
        <v>729</v>
      </c>
      <c r="M72" t="s">
        <v>676</v>
      </c>
      <c r="N72" t="s">
        <v>675</v>
      </c>
      <c r="O72" t="s">
        <v>557</v>
      </c>
      <c r="P72" t="s">
        <v>736</v>
      </c>
      <c r="Q72">
        <f>14-7-2</f>
        <v>5</v>
      </c>
      <c r="T72">
        <f>T71-4</f>
        <v>-23</v>
      </c>
      <c r="U72">
        <v>-15</v>
      </c>
      <c r="V72">
        <f>T72-U72</f>
        <v>-8</v>
      </c>
      <c r="W72">
        <f>(20-V72)/20</f>
        <v>1.4</v>
      </c>
      <c r="X72">
        <f>4*W72</f>
        <v>5.6</v>
      </c>
      <c r="Y72">
        <f>X72*2</f>
        <v>11.2</v>
      </c>
      <c r="Z72">
        <f>Y72*5</f>
        <v>56</v>
      </c>
      <c r="AP72">
        <f>AP71^4</f>
        <v>0.17850625000000003</v>
      </c>
      <c r="AQ72">
        <f>AQ71^8</f>
        <v>3.186448128906251E-2</v>
      </c>
      <c r="AR72">
        <f>AR71^3</f>
        <v>9.112499999999997E-2</v>
      </c>
      <c r="AV72" t="s">
        <v>1251</v>
      </c>
    </row>
    <row r="73" spans="1:58" x14ac:dyDescent="0.25">
      <c r="D73">
        <f>5/20</f>
        <v>0.25</v>
      </c>
      <c r="G73">
        <f>200/G72</f>
        <v>2.4024024024024024</v>
      </c>
      <c r="I73">
        <f>SUM(I68:I72)</f>
        <v>110</v>
      </c>
      <c r="K73" t="s">
        <v>670</v>
      </c>
      <c r="L73" t="s">
        <v>730</v>
      </c>
      <c r="M73" t="s">
        <v>733</v>
      </c>
      <c r="N73" t="s">
        <v>679</v>
      </c>
      <c r="AK73">
        <f>10-6-5-3-2-4</f>
        <v>-10</v>
      </c>
      <c r="AL73">
        <f>24+5+3+2</f>
        <v>34</v>
      </c>
      <c r="AV73" t="s">
        <v>1252</v>
      </c>
    </row>
    <row r="74" spans="1:58" x14ac:dyDescent="0.25">
      <c r="A74">
        <f>0.75*0.25</f>
        <v>0.1875</v>
      </c>
      <c r="C74">
        <f>0.75*0.45</f>
        <v>0.33750000000000002</v>
      </c>
      <c r="D74">
        <f>9/20</f>
        <v>0.45</v>
      </c>
      <c r="G74">
        <f>G73*6</f>
        <v>14.414414414414415</v>
      </c>
      <c r="K74" t="s">
        <v>672</v>
      </c>
      <c r="L74" t="s">
        <v>1273</v>
      </c>
      <c r="M74" t="s">
        <v>681</v>
      </c>
      <c r="N74" t="s">
        <v>786</v>
      </c>
      <c r="O74" t="s">
        <v>677</v>
      </c>
      <c r="U74">
        <f>10-2-2-1-4</f>
        <v>1</v>
      </c>
      <c r="V74">
        <v>-15</v>
      </c>
      <c r="W74">
        <f>U74-V74</f>
        <v>16</v>
      </c>
      <c r="X74">
        <f>(20-W74)/20</f>
        <v>0.2</v>
      </c>
      <c r="Y74">
        <f>X74*8</f>
        <v>1.6</v>
      </c>
      <c r="Z74">
        <f>(4.5+10)/2</f>
        <v>7.25</v>
      </c>
      <c r="AA74">
        <f>Z74*5</f>
        <v>36.25</v>
      </c>
      <c r="AH74">
        <f>20+(15*3)</f>
        <v>65</v>
      </c>
      <c r="AP74">
        <f>1-AP72</f>
        <v>0.82149374999999991</v>
      </c>
      <c r="AQ74">
        <f>1-AQ72</f>
        <v>0.9681355187109375</v>
      </c>
      <c r="AV74" t="s">
        <v>1253</v>
      </c>
    </row>
    <row r="75" spans="1:58" x14ac:dyDescent="0.25">
      <c r="A75">
        <f>1-A74</f>
        <v>0.8125</v>
      </c>
      <c r="C75">
        <f>1-C74</f>
        <v>0.66249999999999998</v>
      </c>
      <c r="K75" t="s">
        <v>669</v>
      </c>
      <c r="L75" t="s">
        <v>731</v>
      </c>
      <c r="M75" t="s">
        <v>1274</v>
      </c>
      <c r="N75" t="s">
        <v>737</v>
      </c>
      <c r="O75" t="s">
        <v>677</v>
      </c>
      <c r="P75" t="s">
        <v>1275</v>
      </c>
      <c r="U75">
        <f>U74-4</f>
        <v>-3</v>
      </c>
      <c r="V75">
        <v>-15</v>
      </c>
      <c r="W75">
        <f>U75-V75</f>
        <v>12</v>
      </c>
      <c r="X75">
        <f>(20-W75)/20</f>
        <v>0.4</v>
      </c>
      <c r="Y75">
        <f>4*X75</f>
        <v>1.6</v>
      </c>
      <c r="Z75">
        <f>Y74*2</f>
        <v>3.2</v>
      </c>
      <c r="AA75">
        <f>Z75*5</f>
        <v>16</v>
      </c>
      <c r="AH75">
        <f>AH74+15+20</f>
        <v>100</v>
      </c>
      <c r="AP75">
        <f>AP74^2</f>
        <v>0.67485198128906232</v>
      </c>
      <c r="AQ75">
        <f>AQ74^2</f>
        <v>0.93728638258969599</v>
      </c>
      <c r="AT75">
        <f>75-27</f>
        <v>48</v>
      </c>
      <c r="AV75" t="s">
        <v>1254</v>
      </c>
    </row>
    <row r="76" spans="1:58" x14ac:dyDescent="0.25">
      <c r="A76">
        <f>A75^4</f>
        <v>0.4358062744140625</v>
      </c>
      <c r="C76">
        <f>C75^4</f>
        <v>0.19263869628906249</v>
      </c>
      <c r="K76" t="s">
        <v>671</v>
      </c>
      <c r="L76" t="s">
        <v>1273</v>
      </c>
      <c r="M76" t="s">
        <v>681</v>
      </c>
      <c r="N76" t="s">
        <v>786</v>
      </c>
      <c r="O76" t="s">
        <v>677</v>
      </c>
      <c r="AC76">
        <f>-17</f>
        <v>-17</v>
      </c>
      <c r="AD76">
        <f>-24</f>
        <v>-24</v>
      </c>
      <c r="AE76">
        <f>AC76-AD76</f>
        <v>7</v>
      </c>
      <c r="AF76">
        <f>(20-AE76)/20</f>
        <v>0.65</v>
      </c>
      <c r="AI76">
        <v>-17</v>
      </c>
      <c r="AJ76">
        <v>-24</v>
      </c>
      <c r="AK76">
        <f>AI76-AJ76</f>
        <v>7</v>
      </c>
      <c r="AL76">
        <f>(20-AK76)/20</f>
        <v>0.65</v>
      </c>
      <c r="AM76">
        <f>12+10+14+6</f>
        <v>42</v>
      </c>
      <c r="AN76">
        <f>AM76*6</f>
        <v>252</v>
      </c>
      <c r="AO76">
        <f>AN76*AL76*0.75</f>
        <v>122.85000000000001</v>
      </c>
      <c r="AP76">
        <f>AO76-48-48</f>
        <v>26.850000000000009</v>
      </c>
      <c r="AV76" t="s">
        <v>1255</v>
      </c>
    </row>
    <row r="77" spans="1:58" x14ac:dyDescent="0.25">
      <c r="K77" t="s">
        <v>673</v>
      </c>
      <c r="L77" t="s">
        <v>732</v>
      </c>
      <c r="M77" t="s">
        <v>1058</v>
      </c>
      <c r="AV77" t="s">
        <v>1256</v>
      </c>
    </row>
    <row r="78" spans="1:58" x14ac:dyDescent="0.25">
      <c r="H78">
        <v>1</v>
      </c>
      <c r="I78">
        <v>4</v>
      </c>
      <c r="K78" t="s">
        <v>668</v>
      </c>
      <c r="L78" t="s">
        <v>732</v>
      </c>
      <c r="M78" t="s">
        <v>734</v>
      </c>
      <c r="N78" t="s">
        <v>1276</v>
      </c>
      <c r="Z78">
        <f>1000000</f>
        <v>1000000</v>
      </c>
      <c r="AI78">
        <v>-9</v>
      </c>
      <c r="AJ78">
        <v>-15</v>
      </c>
      <c r="AK78">
        <f>AI78-AJ78</f>
        <v>6</v>
      </c>
      <c r="AL78">
        <f>(20-AK78)/20</f>
        <v>0.7</v>
      </c>
      <c r="AM78">
        <f>5.5+5.5+3+3+7</f>
        <v>24</v>
      </c>
      <c r="AN78">
        <f>AM78*4*AL78*0.5-30</f>
        <v>3.5999999999999943</v>
      </c>
      <c r="AV78" t="s">
        <v>1257</v>
      </c>
    </row>
    <row r="79" spans="1:58" x14ac:dyDescent="0.25">
      <c r="D79" t="s">
        <v>735</v>
      </c>
      <c r="G79">
        <f>(40+14+2)*6+2*(4.5+2+14+2)</f>
        <v>381</v>
      </c>
      <c r="H79">
        <v>2</v>
      </c>
      <c r="I79">
        <v>4</v>
      </c>
      <c r="P79">
        <f>24+12+3</f>
        <v>39</v>
      </c>
      <c r="Z79">
        <f>Z78/20</f>
        <v>50000</v>
      </c>
      <c r="AH79">
        <f>6.5+7+2</f>
        <v>15.5</v>
      </c>
      <c r="AV79" t="s">
        <v>1258</v>
      </c>
    </row>
    <row r="80" spans="1:58" x14ac:dyDescent="0.25">
      <c r="D80">
        <f>4*(7+3+3+12+1)</f>
        <v>104</v>
      </c>
      <c r="E80">
        <f>D80/4</f>
        <v>26</v>
      </c>
      <c r="G80">
        <f>G79*3</f>
        <v>1143</v>
      </c>
      <c r="H80">
        <v>3</v>
      </c>
      <c r="I80">
        <v>4</v>
      </c>
      <c r="P80">
        <f>P79*4</f>
        <v>156</v>
      </c>
      <c r="Z80">
        <f>Z79/24</f>
        <v>2083.3333333333335</v>
      </c>
      <c r="AV80" t="s">
        <v>1259</v>
      </c>
    </row>
    <row r="81" spans="4:48" x14ac:dyDescent="0.25">
      <c r="D81">
        <f>D80*0.75</f>
        <v>78</v>
      </c>
      <c r="E81">
        <f>E80*0.75</f>
        <v>19.5</v>
      </c>
      <c r="H81">
        <v>4</v>
      </c>
      <c r="I81">
        <v>4</v>
      </c>
      <c r="P81">
        <f>P80*0.75</f>
        <v>117</v>
      </c>
      <c r="U81" t="s">
        <v>1011</v>
      </c>
      <c r="V81">
        <v>20</v>
      </c>
      <c r="W81">
        <v>20</v>
      </c>
      <c r="AN81">
        <v>-2</v>
      </c>
      <c r="AO81">
        <v>-15</v>
      </c>
      <c r="AP81">
        <f>AN81-AO81</f>
        <v>13</v>
      </c>
      <c r="AQ81">
        <f>(20-AP81)/20</f>
        <v>0.35</v>
      </c>
      <c r="AR81">
        <f>54+2</f>
        <v>56</v>
      </c>
      <c r="AS81">
        <f>AR81*3*AQ81*0.5</f>
        <v>29.4</v>
      </c>
      <c r="AV81" t="s">
        <v>1260</v>
      </c>
    </row>
    <row r="82" spans="4:48" x14ac:dyDescent="0.25">
      <c r="D82">
        <f>D81*3</f>
        <v>234</v>
      </c>
      <c r="E82">
        <f>19*3*4</f>
        <v>228</v>
      </c>
      <c r="J82">
        <f>20*3.5</f>
        <v>70</v>
      </c>
      <c r="U82" t="s">
        <v>1009</v>
      </c>
      <c r="V82">
        <v>10</v>
      </c>
      <c r="W82">
        <v>10</v>
      </c>
      <c r="AN82">
        <f>13-1-4-6</f>
        <v>2</v>
      </c>
      <c r="AR82" t="s">
        <v>1249</v>
      </c>
      <c r="AS82" t="s">
        <v>1248</v>
      </c>
      <c r="AV82" t="s">
        <v>1261</v>
      </c>
    </row>
    <row r="83" spans="4:48" x14ac:dyDescent="0.25">
      <c r="J83">
        <f>200/(J82*0.75)</f>
        <v>3.8095238095238093</v>
      </c>
      <c r="N83">
        <f>(22+9+1)</f>
        <v>32</v>
      </c>
      <c r="U83" t="s">
        <v>1144</v>
      </c>
      <c r="V83">
        <v>5</v>
      </c>
      <c r="W83">
        <v>5</v>
      </c>
      <c r="AF83">
        <f>10-1-4-6-5</f>
        <v>-6</v>
      </c>
      <c r="AG83">
        <f>3.5+6+10</f>
        <v>19.5</v>
      </c>
      <c r="AH83">
        <f>AG83*8*0.5</f>
        <v>78</v>
      </c>
      <c r="AN83">
        <f>10-1-4-6-1</f>
        <v>-2</v>
      </c>
      <c r="AO83">
        <f>54+2</f>
        <v>56</v>
      </c>
      <c r="AR83">
        <f>3.5*5*5</f>
        <v>87.5</v>
      </c>
      <c r="AS83">
        <f>3.5*0.5</f>
        <v>1.75</v>
      </c>
      <c r="AV83" t="s">
        <v>1262</v>
      </c>
    </row>
    <row r="84" spans="4:48" x14ac:dyDescent="0.25">
      <c r="G84">
        <f>5*4*3*3</f>
        <v>180</v>
      </c>
      <c r="K84">
        <f>3.5+10</f>
        <v>13.5</v>
      </c>
      <c r="N84">
        <f>N83*0.9</f>
        <v>28.8</v>
      </c>
      <c r="U84" t="s">
        <v>641</v>
      </c>
      <c r="V84">
        <v>10</v>
      </c>
      <c r="W84">
        <v>10</v>
      </c>
      <c r="AR84">
        <f>AS85*5</f>
        <v>78.75</v>
      </c>
      <c r="AS84">
        <f>3.5*4</f>
        <v>14</v>
      </c>
      <c r="AV84" t="s">
        <v>1263</v>
      </c>
    </row>
    <row r="85" spans="4:48" x14ac:dyDescent="0.25">
      <c r="G85">
        <f>2*12*6</f>
        <v>144</v>
      </c>
      <c r="N85">
        <f>165/N84</f>
        <v>5.729166666666667</v>
      </c>
      <c r="P85" t="s">
        <v>670</v>
      </c>
      <c r="Q85">
        <v>10</v>
      </c>
      <c r="R85">
        <v>8</v>
      </c>
      <c r="U85" t="s">
        <v>1145</v>
      </c>
      <c r="V85">
        <v>25</v>
      </c>
      <c r="W85">
        <v>25</v>
      </c>
      <c r="AM85">
        <f>6.5*12+6</f>
        <v>84</v>
      </c>
      <c r="AN85">
        <f>AM85*0.75</f>
        <v>63</v>
      </c>
      <c r="AO85">
        <f>AN85*0.75</f>
        <v>47.25</v>
      </c>
      <c r="AR85">
        <f>55+55</f>
        <v>110</v>
      </c>
      <c r="AS85">
        <f>AS84+AS83</f>
        <v>15.75</v>
      </c>
    </row>
    <row r="86" spans="4:48" x14ac:dyDescent="0.25">
      <c r="D86">
        <f>60*4.5</f>
        <v>270</v>
      </c>
      <c r="P86" t="s">
        <v>668</v>
      </c>
      <c r="R86">
        <v>7</v>
      </c>
      <c r="U86" t="s">
        <v>1146</v>
      </c>
      <c r="V86">
        <v>30</v>
      </c>
      <c r="W86">
        <v>30</v>
      </c>
      <c r="AJ86">
        <f>3.5+2+3+1</f>
        <v>9.5</v>
      </c>
      <c r="AM86">
        <f>4.5*8</f>
        <v>36</v>
      </c>
      <c r="AR86">
        <f>3.5*5*2</f>
        <v>35</v>
      </c>
      <c r="AS86">
        <f>AS85*3</f>
        <v>47.25</v>
      </c>
      <c r="AV86" t="s">
        <v>1264</v>
      </c>
    </row>
    <row r="87" spans="4:48" x14ac:dyDescent="0.25">
      <c r="D87">
        <f>D86/2</f>
        <v>135</v>
      </c>
      <c r="M87" t="s">
        <v>738</v>
      </c>
      <c r="N87">
        <v>1</v>
      </c>
      <c r="P87" t="s">
        <v>671</v>
      </c>
      <c r="R87">
        <v>13</v>
      </c>
      <c r="AJ87">
        <f>9.5*7</f>
        <v>66.5</v>
      </c>
      <c r="AR87">
        <f>SUM(AR83:AR86)</f>
        <v>311.25</v>
      </c>
      <c r="AS87">
        <f>AS86*5</f>
        <v>236.25</v>
      </c>
      <c r="AV87" t="s">
        <v>1265</v>
      </c>
    </row>
    <row r="88" spans="4:48" x14ac:dyDescent="0.25">
      <c r="D88">
        <f>D87/2</f>
        <v>67.5</v>
      </c>
      <c r="M88" t="s">
        <v>739</v>
      </c>
      <c r="N88">
        <v>2</v>
      </c>
      <c r="P88" t="s">
        <v>672</v>
      </c>
      <c r="R88">
        <v>16</v>
      </c>
      <c r="AV88" t="s">
        <v>1266</v>
      </c>
    </row>
    <row r="89" spans="4:48" x14ac:dyDescent="0.25">
      <c r="M89" t="s">
        <v>740</v>
      </c>
      <c r="N89">
        <v>1</v>
      </c>
      <c r="P89" t="s">
        <v>669</v>
      </c>
      <c r="Q89">
        <v>11</v>
      </c>
      <c r="R89">
        <v>16</v>
      </c>
      <c r="AV89" t="s">
        <v>1267</v>
      </c>
    </row>
    <row r="90" spans="4:48" x14ac:dyDescent="0.25">
      <c r="M90" t="s">
        <v>741</v>
      </c>
      <c r="AN90">
        <f>2.5+5</f>
        <v>7.5</v>
      </c>
      <c r="AO90">
        <f>2.5+5</f>
        <v>7.5</v>
      </c>
      <c r="AP90">
        <f>2+3</f>
        <v>5</v>
      </c>
      <c r="AS90">
        <f>2*4*3</f>
        <v>24</v>
      </c>
      <c r="AV90" t="s">
        <v>1268</v>
      </c>
    </row>
    <row r="91" spans="4:48" x14ac:dyDescent="0.25">
      <c r="M91" t="s">
        <v>742</v>
      </c>
      <c r="V91">
        <f>SUM(V81:V90)</f>
        <v>100</v>
      </c>
      <c r="W91">
        <f>SUM(W81:W90)</f>
        <v>100</v>
      </c>
      <c r="AN91">
        <v>72</v>
      </c>
      <c r="AO91">
        <v>24</v>
      </c>
      <c r="AP91">
        <v>24</v>
      </c>
      <c r="AS91">
        <f>2*2*5</f>
        <v>20</v>
      </c>
      <c r="AV91" t="s">
        <v>1269</v>
      </c>
    </row>
    <row r="92" spans="4:48" x14ac:dyDescent="0.25">
      <c r="K92">
        <f>0.6^2</f>
        <v>0.36</v>
      </c>
      <c r="M92" t="s">
        <v>743</v>
      </c>
      <c r="N92">
        <v>1</v>
      </c>
      <c r="Q92" t="s">
        <v>1122</v>
      </c>
      <c r="AN92">
        <f>AN90+AN91</f>
        <v>79.5</v>
      </c>
      <c r="AO92">
        <f>AO90+AO91</f>
        <v>31.5</v>
      </c>
      <c r="AP92">
        <f>AP90+AP91</f>
        <v>29</v>
      </c>
      <c r="AV92" t="s">
        <v>1270</v>
      </c>
    </row>
    <row r="93" spans="4:48" x14ac:dyDescent="0.25">
      <c r="J93">
        <f>2.5+5</f>
        <v>7.5</v>
      </c>
      <c r="M93" t="s">
        <v>744</v>
      </c>
      <c r="N93">
        <v>3</v>
      </c>
      <c r="O93">
        <v>1</v>
      </c>
      <c r="Q93">
        <v>19</v>
      </c>
      <c r="AN93">
        <f>AN92*0.5</f>
        <v>39.75</v>
      </c>
      <c r="AO93">
        <f>AO92*0.5</f>
        <v>15.75</v>
      </c>
      <c r="AP93">
        <f>AP92*0.5</f>
        <v>14.5</v>
      </c>
      <c r="AV93" t="s">
        <v>1271</v>
      </c>
    </row>
    <row r="94" spans="4:48" x14ac:dyDescent="0.25">
      <c r="J94">
        <f>J93*20</f>
        <v>150</v>
      </c>
      <c r="M94" t="s">
        <v>745</v>
      </c>
      <c r="Q94">
        <v>14</v>
      </c>
      <c r="U94" t="s">
        <v>1147</v>
      </c>
      <c r="V94">
        <v>21</v>
      </c>
      <c r="AN94">
        <f>AN93*9</f>
        <v>357.75</v>
      </c>
      <c r="AO94">
        <f>AO93*9</f>
        <v>141.75</v>
      </c>
      <c r="AP94">
        <f>AP93*10</f>
        <v>145</v>
      </c>
      <c r="AR94">
        <f>7/20</f>
        <v>0.35</v>
      </c>
    </row>
    <row r="95" spans="4:48" x14ac:dyDescent="0.25">
      <c r="J95">
        <f>J93*10</f>
        <v>75</v>
      </c>
      <c r="M95" t="s">
        <v>675</v>
      </c>
      <c r="N95">
        <v>2</v>
      </c>
      <c r="Q95">
        <v>6</v>
      </c>
      <c r="U95" t="s">
        <v>1144</v>
      </c>
      <c r="V95">
        <v>1</v>
      </c>
      <c r="AR95">
        <f>0.65^6</f>
        <v>7.5418890625000026E-2</v>
      </c>
      <c r="AV95" t="s">
        <v>1272</v>
      </c>
    </row>
    <row r="96" spans="4:48" x14ac:dyDescent="0.25">
      <c r="G96">
        <f>4*3-4</f>
        <v>8</v>
      </c>
      <c r="Q96">
        <v>21</v>
      </c>
      <c r="U96" t="s">
        <v>1146</v>
      </c>
      <c r="V96">
        <v>2</v>
      </c>
    </row>
    <row r="97" spans="1:65" x14ac:dyDescent="0.25">
      <c r="Q97">
        <v>23</v>
      </c>
      <c r="U97" t="s">
        <v>1148</v>
      </c>
      <c r="V97">
        <v>1</v>
      </c>
      <c r="BA97">
        <f>0.5^3</f>
        <v>0.125</v>
      </c>
      <c r="BB97">
        <f>0.5^6</f>
        <v>1.5625E-2</v>
      </c>
      <c r="BC97">
        <f>0.5^9</f>
        <v>1.953125E-3</v>
      </c>
    </row>
    <row r="98" spans="1:65" x14ac:dyDescent="0.25">
      <c r="M98" t="s">
        <v>746</v>
      </c>
      <c r="N98">
        <v>1</v>
      </c>
      <c r="Q98">
        <v>25</v>
      </c>
      <c r="AS98">
        <f>0</f>
        <v>0</v>
      </c>
      <c r="BA98">
        <f>1-BA97</f>
        <v>0.875</v>
      </c>
    </row>
    <row r="99" spans="1:65" x14ac:dyDescent="0.25">
      <c r="J99">
        <f>14-5-7-1-1</f>
        <v>0</v>
      </c>
      <c r="L99">
        <f>10*(40+14+5+1)</f>
        <v>600</v>
      </c>
      <c r="M99" t="s">
        <v>747</v>
      </c>
      <c r="N99">
        <v>2</v>
      </c>
      <c r="O99">
        <f>(3.5+12+8)*8*5+(1)*8*5</f>
        <v>980</v>
      </c>
      <c r="Q99" t="s">
        <v>1123</v>
      </c>
      <c r="R99">
        <v>-50</v>
      </c>
      <c r="S99" t="s">
        <v>1137</v>
      </c>
      <c r="T99">
        <v>1</v>
      </c>
      <c r="V99">
        <f>SUM(V94:V98)</f>
        <v>25</v>
      </c>
      <c r="AS99">
        <f>AS98+4+1-1</f>
        <v>4</v>
      </c>
      <c r="AW99" t="s">
        <v>729</v>
      </c>
      <c r="AX99" t="s">
        <v>676</v>
      </c>
      <c r="AY99" t="s">
        <v>675</v>
      </c>
      <c r="AZ99" t="s">
        <v>557</v>
      </c>
      <c r="BA99" t="s">
        <v>736</v>
      </c>
      <c r="BE99">
        <f>0.75^5</f>
        <v>0.2373046875</v>
      </c>
    </row>
    <row r="100" spans="1:65" x14ac:dyDescent="0.25">
      <c r="M100" t="s">
        <v>748</v>
      </c>
      <c r="N100">
        <v>2</v>
      </c>
      <c r="Q100" t="s">
        <v>497</v>
      </c>
      <c r="R100">
        <v>-8</v>
      </c>
      <c r="S100" t="s">
        <v>1138</v>
      </c>
      <c r="T100">
        <v>7</v>
      </c>
      <c r="AS100">
        <f>AS99/20</f>
        <v>0.2</v>
      </c>
      <c r="AV100" t="s">
        <v>670</v>
      </c>
      <c r="AW100" t="s">
        <v>730</v>
      </c>
      <c r="AX100" t="s">
        <v>733</v>
      </c>
      <c r="AY100" t="s">
        <v>737</v>
      </c>
    </row>
    <row r="101" spans="1:65" x14ac:dyDescent="0.25">
      <c r="E101">
        <f>4/20</f>
        <v>0.2</v>
      </c>
      <c r="M101" t="s">
        <v>749</v>
      </c>
      <c r="N101">
        <v>2</v>
      </c>
      <c r="Q101" t="s">
        <v>1124</v>
      </c>
      <c r="R101">
        <v>-3</v>
      </c>
      <c r="S101" t="s">
        <v>31</v>
      </c>
      <c r="T101">
        <v>10</v>
      </c>
      <c r="AS101">
        <f>1-AS100+0.05</f>
        <v>0.85000000000000009</v>
      </c>
      <c r="AV101" t="s">
        <v>672</v>
      </c>
      <c r="AW101" t="s">
        <v>1273</v>
      </c>
      <c r="AX101" t="s">
        <v>681</v>
      </c>
      <c r="AY101" t="s">
        <v>786</v>
      </c>
      <c r="AZ101" t="s">
        <v>1324</v>
      </c>
      <c r="BC101">
        <f>8/20</f>
        <v>0.4</v>
      </c>
    </row>
    <row r="102" spans="1:65" x14ac:dyDescent="0.25">
      <c r="E102">
        <f>0.2*0.75</f>
        <v>0.15000000000000002</v>
      </c>
      <c r="H102">
        <f>10*(3.5+10+3+10)</f>
        <v>265</v>
      </c>
      <c r="M102" t="s">
        <v>750</v>
      </c>
      <c r="Q102" t="s">
        <v>801</v>
      </c>
      <c r="R102">
        <v>-7</v>
      </c>
      <c r="T102">
        <v>-10</v>
      </c>
      <c r="AS102">
        <v>5</v>
      </c>
      <c r="AV102" t="s">
        <v>669</v>
      </c>
      <c r="AW102" t="s">
        <v>731</v>
      </c>
      <c r="AX102" t="s">
        <v>1274</v>
      </c>
      <c r="AY102" t="s">
        <v>737</v>
      </c>
      <c r="AZ102" t="s">
        <v>1323</v>
      </c>
      <c r="BA102" t="s">
        <v>1322</v>
      </c>
      <c r="BC102">
        <f>0.6^3</f>
        <v>0.216</v>
      </c>
    </row>
    <row r="103" spans="1:65" x14ac:dyDescent="0.25">
      <c r="E103">
        <f>1-E102</f>
        <v>0.85</v>
      </c>
      <c r="M103" t="s">
        <v>751</v>
      </c>
      <c r="Q103" t="s">
        <v>804</v>
      </c>
      <c r="R103">
        <v>4</v>
      </c>
      <c r="T103">
        <v>-2</v>
      </c>
      <c r="AS103">
        <f>AS101^AS102</f>
        <v>0.44370531250000023</v>
      </c>
      <c r="AV103" t="s">
        <v>671</v>
      </c>
      <c r="AW103" t="s">
        <v>1273</v>
      </c>
      <c r="AX103" t="s">
        <v>681</v>
      </c>
      <c r="AY103" t="s">
        <v>786</v>
      </c>
      <c r="AZ103" t="s">
        <v>1324</v>
      </c>
      <c r="BF103" t="s">
        <v>1325</v>
      </c>
    </row>
    <row r="104" spans="1:65" x14ac:dyDescent="0.25">
      <c r="E104">
        <f>E103^8</f>
        <v>0.2724905250390624</v>
      </c>
      <c r="Q104" t="s">
        <v>1125</v>
      </c>
      <c r="R104">
        <v>4</v>
      </c>
      <c r="T104">
        <v>-5</v>
      </c>
      <c r="AV104" t="s">
        <v>673</v>
      </c>
      <c r="AW104" t="s">
        <v>732</v>
      </c>
      <c r="AX104" t="s">
        <v>1058</v>
      </c>
      <c r="BF104">
        <v>1</v>
      </c>
      <c r="BG104" t="s">
        <v>1329</v>
      </c>
    </row>
    <row r="105" spans="1:65" x14ac:dyDescent="0.25">
      <c r="L105">
        <f>6*(3.5+3+1+9+1)</f>
        <v>105</v>
      </c>
      <c r="M105">
        <f>6*3-10</f>
        <v>8</v>
      </c>
      <c r="Q105" t="s">
        <v>803</v>
      </c>
      <c r="R105">
        <v>-3</v>
      </c>
      <c r="T105">
        <v>-5</v>
      </c>
      <c r="AV105" t="s">
        <v>668</v>
      </c>
      <c r="AW105" t="s">
        <v>732</v>
      </c>
      <c r="AX105" t="s">
        <v>734</v>
      </c>
      <c r="AY105" t="s">
        <v>1276</v>
      </c>
      <c r="BF105">
        <v>2</v>
      </c>
      <c r="BG105" t="s">
        <v>1328</v>
      </c>
    </row>
    <row r="106" spans="1:65" x14ac:dyDescent="0.25">
      <c r="O106">
        <f>0.95^8</f>
        <v>0.66342043128906247</v>
      </c>
      <c r="Q106" t="s">
        <v>800</v>
      </c>
      <c r="R106">
        <v>3</v>
      </c>
      <c r="T106">
        <v>-5</v>
      </c>
      <c r="BF106">
        <v>3</v>
      </c>
      <c r="BG106" t="s">
        <v>1337</v>
      </c>
      <c r="BI106" t="s">
        <v>1336</v>
      </c>
      <c r="BL106">
        <f>8*9</f>
        <v>72</v>
      </c>
    </row>
    <row r="107" spans="1:65" x14ac:dyDescent="0.25">
      <c r="I107">
        <f>6/20</f>
        <v>0.3</v>
      </c>
      <c r="M107" t="s">
        <v>1120</v>
      </c>
      <c r="O107">
        <f>1-O106</f>
        <v>0.33657956871093753</v>
      </c>
      <c r="Q107" t="s">
        <v>1126</v>
      </c>
      <c r="R107">
        <v>-4</v>
      </c>
      <c r="T107">
        <v>12</v>
      </c>
      <c r="AH107" t="s">
        <v>1152</v>
      </c>
      <c r="AI107" t="s">
        <v>828</v>
      </c>
      <c r="AX107">
        <f>75+45</f>
        <v>120</v>
      </c>
      <c r="BC107">
        <f>6+6+6+2+2</f>
        <v>22</v>
      </c>
      <c r="BF107">
        <v>4</v>
      </c>
      <c r="BG107" t="s">
        <v>1330</v>
      </c>
    </row>
    <row r="108" spans="1:65" x14ac:dyDescent="0.25">
      <c r="I108">
        <f>0.7^8</f>
        <v>5.7648009999999965E-2</v>
      </c>
      <c r="J108">
        <f>0.5^8</f>
        <v>3.90625E-3</v>
      </c>
      <c r="M108">
        <v>1</v>
      </c>
      <c r="N108" t="s">
        <v>1113</v>
      </c>
      <c r="Q108" t="s">
        <v>1127</v>
      </c>
      <c r="R108">
        <v>-3</v>
      </c>
      <c r="S108" t="s">
        <v>1139</v>
      </c>
      <c r="T108">
        <v>-4</v>
      </c>
      <c r="W108">
        <f>21/2</f>
        <v>10.5</v>
      </c>
      <c r="AG108" t="s">
        <v>212</v>
      </c>
      <c r="AH108">
        <v>3.5</v>
      </c>
      <c r="AI108">
        <v>2</v>
      </c>
      <c r="AS108">
        <v>45</v>
      </c>
      <c r="BC108">
        <f>6+9+9+9+8+9</f>
        <v>50</v>
      </c>
      <c r="BF108">
        <v>5</v>
      </c>
      <c r="BG108" t="s">
        <v>1342</v>
      </c>
      <c r="BI108" t="s">
        <v>1358</v>
      </c>
      <c r="BL108" t="s">
        <v>1357</v>
      </c>
    </row>
    <row r="109" spans="1:65" x14ac:dyDescent="0.25">
      <c r="I109">
        <f>0.7^4</f>
        <v>0.24009999999999992</v>
      </c>
      <c r="J109">
        <f>0.5^4</f>
        <v>6.25E-2</v>
      </c>
      <c r="M109">
        <v>3</v>
      </c>
      <c r="N109" t="s">
        <v>1114</v>
      </c>
      <c r="Q109" t="s">
        <v>1128</v>
      </c>
      <c r="R109">
        <v>-10</v>
      </c>
      <c r="W109">
        <f>12.5*3+7</f>
        <v>44.5</v>
      </c>
      <c r="AG109" t="s">
        <v>232</v>
      </c>
      <c r="AH109">
        <v>5</v>
      </c>
      <c r="AI109">
        <v>5</v>
      </c>
      <c r="AS109">
        <f>AS108*70</f>
        <v>3150</v>
      </c>
      <c r="BF109">
        <v>6</v>
      </c>
      <c r="BG109" t="s">
        <v>1326</v>
      </c>
      <c r="BJ109" t="s">
        <v>1327</v>
      </c>
      <c r="BM109" t="s">
        <v>1349</v>
      </c>
    </row>
    <row r="110" spans="1:65" x14ac:dyDescent="0.25">
      <c r="M110">
        <v>6</v>
      </c>
      <c r="N110" t="s">
        <v>1115</v>
      </c>
      <c r="Q110" t="s">
        <v>1129</v>
      </c>
      <c r="R110">
        <v>-8</v>
      </c>
      <c r="AG110" t="s">
        <v>797</v>
      </c>
      <c r="AH110">
        <v>4</v>
      </c>
      <c r="AI110">
        <v>4</v>
      </c>
      <c r="AU110">
        <f>AS109+AX112</f>
        <v>4537.5</v>
      </c>
      <c r="BA110">
        <f>300/70</f>
        <v>4.2857142857142856</v>
      </c>
      <c r="BF110">
        <v>7</v>
      </c>
      <c r="BG110" t="s">
        <v>1331</v>
      </c>
      <c r="BH110" t="s">
        <v>745</v>
      </c>
    </row>
    <row r="111" spans="1:65" x14ac:dyDescent="0.25">
      <c r="A111">
        <v>23500</v>
      </c>
      <c r="B111" t="s">
        <v>752</v>
      </c>
      <c r="F111">
        <f>10-2-3-7-4</f>
        <v>-6</v>
      </c>
      <c r="M111">
        <v>9</v>
      </c>
      <c r="N111" t="s">
        <v>1116</v>
      </c>
      <c r="Q111" t="s">
        <v>1130</v>
      </c>
      <c r="R111">
        <v>7</v>
      </c>
      <c r="AG111" t="s">
        <v>827</v>
      </c>
      <c r="AH111">
        <v>3</v>
      </c>
      <c r="AI111">
        <v>2</v>
      </c>
      <c r="AX111">
        <f>4.5*3+5</f>
        <v>18.5</v>
      </c>
      <c r="AZ111">
        <f>70*7</f>
        <v>490</v>
      </c>
      <c r="BB111">
        <f>31*5</f>
        <v>155</v>
      </c>
      <c r="BF111">
        <v>8</v>
      </c>
      <c r="BG111" t="s">
        <v>1332</v>
      </c>
      <c r="BJ111" t="s">
        <v>1333</v>
      </c>
    </row>
    <row r="112" spans="1:65" x14ac:dyDescent="0.25">
      <c r="M112">
        <v>12</v>
      </c>
      <c r="N112" t="s">
        <v>1117</v>
      </c>
      <c r="Q112" t="s">
        <v>1131</v>
      </c>
      <c r="R112">
        <v>25</v>
      </c>
      <c r="U112" t="s">
        <v>1149</v>
      </c>
      <c r="W112" t="s">
        <v>1150</v>
      </c>
      <c r="Y112" t="s">
        <v>829</v>
      </c>
      <c r="AA112" t="s">
        <v>825</v>
      </c>
      <c r="AC112" t="s">
        <v>1151</v>
      </c>
      <c r="AE112" t="s">
        <v>1152</v>
      </c>
      <c r="AG112" t="s">
        <v>1153</v>
      </c>
      <c r="AH112">
        <v>4</v>
      </c>
      <c r="AI112">
        <v>5</v>
      </c>
      <c r="AX112">
        <f>75*AX111</f>
        <v>1387.5</v>
      </c>
      <c r="BF112">
        <v>9</v>
      </c>
      <c r="BG112" t="s">
        <v>1334</v>
      </c>
      <c r="BI112" t="s">
        <v>1335</v>
      </c>
    </row>
    <row r="113" spans="1:64" x14ac:dyDescent="0.25">
      <c r="M113">
        <v>15</v>
      </c>
      <c r="N113" t="s">
        <v>1118</v>
      </c>
      <c r="Q113" t="s">
        <v>1132</v>
      </c>
      <c r="R113">
        <v>100</v>
      </c>
      <c r="T113" t="s">
        <v>784</v>
      </c>
      <c r="U113">
        <v>2</v>
      </c>
      <c r="V113">
        <v>1</v>
      </c>
      <c r="W113">
        <v>2</v>
      </c>
      <c r="X113">
        <v>1</v>
      </c>
      <c r="Y113">
        <v>1</v>
      </c>
      <c r="Z113">
        <v>1</v>
      </c>
      <c r="AA113">
        <v>1</v>
      </c>
      <c r="AB113">
        <v>1</v>
      </c>
      <c r="AC113">
        <v>1</v>
      </c>
      <c r="AD113">
        <v>1</v>
      </c>
      <c r="AE113">
        <v>1</v>
      </c>
      <c r="AF113">
        <v>1</v>
      </c>
      <c r="AH113">
        <f>AH108+AH109+AH110+AH111</f>
        <v>15.5</v>
      </c>
      <c r="AI113">
        <f>AI108+AI109+AI110+AI111</f>
        <v>13</v>
      </c>
      <c r="BL113" t="s">
        <v>1362</v>
      </c>
    </row>
    <row r="114" spans="1:64" x14ac:dyDescent="0.25">
      <c r="M114">
        <v>18</v>
      </c>
      <c r="N114" t="s">
        <v>1119</v>
      </c>
      <c r="Q114" t="s">
        <v>1133</v>
      </c>
      <c r="R114">
        <v>-25</v>
      </c>
      <c r="T114" t="s">
        <v>509</v>
      </c>
      <c r="U114">
        <v>5</v>
      </c>
      <c r="V114">
        <v>5</v>
      </c>
      <c r="W114">
        <v>8</v>
      </c>
      <c r="X114">
        <v>8</v>
      </c>
      <c r="Y114">
        <v>4</v>
      </c>
      <c r="Z114">
        <v>4</v>
      </c>
      <c r="AA114">
        <v>3</v>
      </c>
      <c r="AB114">
        <v>3</v>
      </c>
      <c r="AC114">
        <v>3</v>
      </c>
      <c r="AD114">
        <v>3</v>
      </c>
      <c r="AE114">
        <v>4</v>
      </c>
      <c r="AF114">
        <v>4</v>
      </c>
      <c r="AH114">
        <f>AH112*AH113</f>
        <v>62</v>
      </c>
      <c r="AI114">
        <f>AI112*AI113</f>
        <v>65</v>
      </c>
      <c r="BF114" t="s">
        <v>1338</v>
      </c>
    </row>
    <row r="115" spans="1:64" x14ac:dyDescent="0.25">
      <c r="M115" t="s">
        <v>1121</v>
      </c>
      <c r="N115">
        <f>5*(8+14+1)/2</f>
        <v>57.5</v>
      </c>
      <c r="Q115" t="s">
        <v>1134</v>
      </c>
      <c r="R115">
        <v>-50</v>
      </c>
      <c r="T115" t="s">
        <v>795</v>
      </c>
      <c r="U115">
        <v>1</v>
      </c>
      <c r="V115">
        <v>1</v>
      </c>
      <c r="W115">
        <v>1</v>
      </c>
      <c r="X115">
        <v>1</v>
      </c>
      <c r="Y115">
        <v>1</v>
      </c>
      <c r="Z115">
        <v>1</v>
      </c>
      <c r="AA115">
        <v>1</v>
      </c>
      <c r="AB115">
        <v>1</v>
      </c>
      <c r="AC115">
        <v>1</v>
      </c>
      <c r="AD115">
        <v>1</v>
      </c>
      <c r="AE115">
        <v>1</v>
      </c>
      <c r="AF115">
        <v>1</v>
      </c>
      <c r="BF115" t="s">
        <v>1339</v>
      </c>
      <c r="BL115" s="4" t="s">
        <v>1363</v>
      </c>
    </row>
    <row r="116" spans="1:64" x14ac:dyDescent="0.25">
      <c r="G116">
        <f>1-7+2</f>
        <v>-4</v>
      </c>
      <c r="I116">
        <f>6*(40+14+2+2)+2*(8+2+14+2+2)</f>
        <v>404</v>
      </c>
      <c r="O116">
        <f>7*4</f>
        <v>28</v>
      </c>
      <c r="Q116" t="s">
        <v>1129</v>
      </c>
      <c r="R116">
        <v>-75</v>
      </c>
      <c r="T116" t="s">
        <v>796</v>
      </c>
      <c r="U116">
        <v>1</v>
      </c>
      <c r="V116">
        <f>4/6</f>
        <v>0.66666666666666663</v>
      </c>
      <c r="W116">
        <v>1</v>
      </c>
      <c r="X116">
        <f>4/6</f>
        <v>0.66666666666666663</v>
      </c>
      <c r="Y116">
        <v>1</v>
      </c>
      <c r="Z116">
        <f>4/6</f>
        <v>0.66666666666666663</v>
      </c>
      <c r="AA116">
        <v>1</v>
      </c>
      <c r="AB116">
        <f>4/6</f>
        <v>0.66666666666666663</v>
      </c>
      <c r="AC116">
        <v>1</v>
      </c>
      <c r="AD116">
        <f>4/6</f>
        <v>0.66666666666666663</v>
      </c>
      <c r="AE116">
        <v>1</v>
      </c>
      <c r="AF116">
        <f>4/6</f>
        <v>0.66666666666666663</v>
      </c>
      <c r="BF116" t="s">
        <v>1340</v>
      </c>
      <c r="BL116" t="s">
        <v>1364</v>
      </c>
    </row>
    <row r="117" spans="1:64" x14ac:dyDescent="0.25">
      <c r="J117">
        <f>I116*0.75</f>
        <v>303</v>
      </c>
      <c r="O117">
        <f>35*9</f>
        <v>315</v>
      </c>
      <c r="Q117" t="s">
        <v>1128</v>
      </c>
      <c r="R117">
        <v>-50</v>
      </c>
      <c r="U117">
        <f t="shared" ref="U117:Z117" si="29">U113*U114*U115*U116</f>
        <v>10</v>
      </c>
      <c r="V117">
        <f t="shared" si="29"/>
        <v>3.333333333333333</v>
      </c>
      <c r="W117">
        <f>W113*W114*W115*W116</f>
        <v>16</v>
      </c>
      <c r="X117">
        <f t="shared" si="29"/>
        <v>5.333333333333333</v>
      </c>
      <c r="Y117">
        <f t="shared" si="29"/>
        <v>4</v>
      </c>
      <c r="Z117">
        <f t="shared" si="29"/>
        <v>2.6666666666666665</v>
      </c>
      <c r="AA117">
        <f t="shared" ref="AA117:AF117" si="30">AA113*AA114*AA115*AA116</f>
        <v>3</v>
      </c>
      <c r="AB117">
        <f t="shared" si="30"/>
        <v>2</v>
      </c>
      <c r="AC117">
        <f t="shared" si="30"/>
        <v>3</v>
      </c>
      <c r="AD117">
        <f t="shared" si="30"/>
        <v>2</v>
      </c>
      <c r="AE117">
        <f t="shared" si="30"/>
        <v>4</v>
      </c>
      <c r="AF117">
        <f t="shared" si="30"/>
        <v>2.6666666666666665</v>
      </c>
      <c r="BF117" t="s">
        <v>1341</v>
      </c>
    </row>
    <row r="118" spans="1:64" x14ac:dyDescent="0.25">
      <c r="B118" t="s">
        <v>1049</v>
      </c>
      <c r="I118">
        <f>I116*0.35</f>
        <v>141.39999999999998</v>
      </c>
      <c r="Q118" t="s">
        <v>1127</v>
      </c>
      <c r="R118">
        <v>-25</v>
      </c>
      <c r="U118">
        <f>U117+V117</f>
        <v>13.333333333333332</v>
      </c>
      <c r="W118">
        <f>W117+X117</f>
        <v>21.333333333333332</v>
      </c>
      <c r="Y118">
        <f>Y117+Z117</f>
        <v>6.6666666666666661</v>
      </c>
      <c r="AA118">
        <f>AA117+AB117</f>
        <v>5</v>
      </c>
      <c r="AC118">
        <f>AC117+AD117</f>
        <v>5</v>
      </c>
      <c r="AE118">
        <f>AE117+AF117</f>
        <v>6.6666666666666661</v>
      </c>
      <c r="BF118" t="s">
        <v>1342</v>
      </c>
    </row>
    <row r="119" spans="1:64" x14ac:dyDescent="0.25">
      <c r="A119">
        <v>1</v>
      </c>
      <c r="B119" t="s">
        <v>1033</v>
      </c>
      <c r="L119">
        <f>35*7</f>
        <v>245</v>
      </c>
      <c r="M119">
        <f>6*(4+1+1+0.5+0.15+1+1+1+0.5+1+1)</f>
        <v>72.900000000000006</v>
      </c>
      <c r="Q119" t="s">
        <v>1130</v>
      </c>
      <c r="R119">
        <v>75</v>
      </c>
      <c r="W119">
        <f>U117+W117+Y117+AA117+AC117+AE117</f>
        <v>40</v>
      </c>
      <c r="BF119" t="s">
        <v>1347</v>
      </c>
    </row>
    <row r="120" spans="1:64" x14ac:dyDescent="0.25">
      <c r="A120">
        <v>1</v>
      </c>
      <c r="B120" t="s">
        <v>1034</v>
      </c>
      <c r="Q120" t="s">
        <v>1135</v>
      </c>
      <c r="R120">
        <v>-50</v>
      </c>
      <c r="U120">
        <f>U118+W118+Y118+AA118+AC118+AE118</f>
        <v>57.999999999999993</v>
      </c>
      <c r="AC120" t="s">
        <v>1150</v>
      </c>
      <c r="BF120" t="s">
        <v>1343</v>
      </c>
    </row>
    <row r="121" spans="1:64" x14ac:dyDescent="0.25">
      <c r="A121">
        <v>1</v>
      </c>
      <c r="B121" t="s">
        <v>1035</v>
      </c>
      <c r="E121" t="s">
        <v>1038</v>
      </c>
      <c r="O121">
        <v>375</v>
      </c>
      <c r="P121">
        <f>12*2.5+6</f>
        <v>36</v>
      </c>
      <c r="Q121" t="s">
        <v>1136</v>
      </c>
      <c r="R121">
        <v>75</v>
      </c>
      <c r="T121">
        <f>U117+W117+Y117+AA117+AC117+AE117</f>
        <v>40</v>
      </c>
      <c r="U121">
        <f>T121*0.9</f>
        <v>36</v>
      </c>
      <c r="Y121">
        <f>5*(2+5+3+4)</f>
        <v>70</v>
      </c>
      <c r="Z121">
        <f>9-5-2-1-4</f>
        <v>-3</v>
      </c>
      <c r="AC121">
        <v>2</v>
      </c>
      <c r="AD121">
        <v>1</v>
      </c>
      <c r="BF121" t="s">
        <v>1344</v>
      </c>
    </row>
    <row r="122" spans="1:64" x14ac:dyDescent="0.25">
      <c r="B122" t="s">
        <v>1036</v>
      </c>
      <c r="E122" t="s">
        <v>1037</v>
      </c>
      <c r="O122">
        <v>322</v>
      </c>
      <c r="P122">
        <f>P121*0.75</f>
        <v>27</v>
      </c>
      <c r="Y122">
        <f>Y121*6</f>
        <v>420</v>
      </c>
      <c r="AC122">
        <v>5</v>
      </c>
      <c r="AD122">
        <v>5</v>
      </c>
      <c r="BB122" s="19" t="s">
        <v>1374</v>
      </c>
      <c r="BF122" t="s">
        <v>1350</v>
      </c>
    </row>
    <row r="123" spans="1:64" x14ac:dyDescent="0.25">
      <c r="B123" t="s">
        <v>1039</v>
      </c>
      <c r="E123" t="s">
        <v>1040</v>
      </c>
      <c r="L123">
        <f>3.5*3*3</f>
        <v>31.5</v>
      </c>
      <c r="M123">
        <f>2+1.5+1</f>
        <v>4.5</v>
      </c>
      <c r="O123">
        <f>O121-90</f>
        <v>285</v>
      </c>
      <c r="P123">
        <f>O123+O122</f>
        <v>607</v>
      </c>
      <c r="Z123">
        <f>2.5+2+9+2+8</f>
        <v>23.5</v>
      </c>
      <c r="AA123">
        <f>Z123*3</f>
        <v>70.5</v>
      </c>
      <c r="AC123">
        <v>1</v>
      </c>
      <c r="AD123">
        <v>1</v>
      </c>
      <c r="BF123" t="s">
        <v>1345</v>
      </c>
    </row>
    <row r="124" spans="1:64" x14ac:dyDescent="0.25">
      <c r="B124" t="s">
        <v>1042</v>
      </c>
      <c r="E124" t="s">
        <v>1041</v>
      </c>
      <c r="L124" t="s">
        <v>784</v>
      </c>
      <c r="M124">
        <v>3</v>
      </c>
      <c r="N124">
        <v>3</v>
      </c>
      <c r="O124">
        <v>2</v>
      </c>
      <c r="P124">
        <v>1</v>
      </c>
      <c r="Q124">
        <v>2</v>
      </c>
      <c r="R124">
        <v>2</v>
      </c>
      <c r="S124">
        <v>2</v>
      </c>
      <c r="T124">
        <v>1</v>
      </c>
      <c r="Z124">
        <f>2+5+2+8</f>
        <v>17</v>
      </c>
      <c r="AA124">
        <f>Z124*5</f>
        <v>85</v>
      </c>
      <c r="AC124">
        <v>1</v>
      </c>
      <c r="AD124">
        <v>1</v>
      </c>
      <c r="BF124" t="s">
        <v>1346</v>
      </c>
      <c r="BK124" t="s">
        <v>1356</v>
      </c>
    </row>
    <row r="125" spans="1:64" x14ac:dyDescent="0.25">
      <c r="B125" t="s">
        <v>1043</v>
      </c>
      <c r="E125" t="s">
        <v>1044</v>
      </c>
      <c r="L125" t="s">
        <v>509</v>
      </c>
      <c r="M125">
        <v>5</v>
      </c>
      <c r="N125">
        <v>5</v>
      </c>
      <c r="O125">
        <v>5</v>
      </c>
      <c r="P125">
        <v>5</v>
      </c>
      <c r="Q125">
        <v>6</v>
      </c>
      <c r="R125">
        <v>6</v>
      </c>
      <c r="S125">
        <v>9</v>
      </c>
      <c r="T125">
        <v>2</v>
      </c>
      <c r="W125">
        <f>20*2*4.5</f>
        <v>180</v>
      </c>
      <c r="AC125">
        <f>AC121*AC122*AC123*AC124</f>
        <v>10</v>
      </c>
      <c r="AD125">
        <f>AD121*AD122*AD123*AD124</f>
        <v>5</v>
      </c>
      <c r="BA125" t="s">
        <v>1368</v>
      </c>
      <c r="BF125" t="s">
        <v>1348</v>
      </c>
      <c r="BK125" t="s">
        <v>1359</v>
      </c>
    </row>
    <row r="126" spans="1:64" x14ac:dyDescent="0.25">
      <c r="A126">
        <v>1</v>
      </c>
      <c r="B126" t="s">
        <v>1045</v>
      </c>
      <c r="E126" t="s">
        <v>1044</v>
      </c>
      <c r="J126">
        <f>3.08+1.25</f>
        <v>4.33</v>
      </c>
      <c r="L126" t="s">
        <v>795</v>
      </c>
      <c r="M126">
        <v>1</v>
      </c>
      <c r="N126">
        <v>1</v>
      </c>
      <c r="O126">
        <v>1</v>
      </c>
      <c r="P126">
        <v>1</v>
      </c>
      <c r="Q126">
        <v>1</v>
      </c>
      <c r="R126">
        <v>1</v>
      </c>
      <c r="S126">
        <v>2</v>
      </c>
      <c r="T126">
        <v>3</v>
      </c>
      <c r="AC126">
        <f>AC125+AD125</f>
        <v>15</v>
      </c>
      <c r="BA126" s="4" t="s">
        <v>1052</v>
      </c>
      <c r="BF126" t="s">
        <v>1351</v>
      </c>
      <c r="BK126" t="s">
        <v>1367</v>
      </c>
    </row>
    <row r="127" spans="1:64" x14ac:dyDescent="0.25">
      <c r="A127">
        <v>1</v>
      </c>
      <c r="B127" t="s">
        <v>1046</v>
      </c>
      <c r="E127" t="s">
        <v>1044</v>
      </c>
      <c r="L127" t="s">
        <v>796</v>
      </c>
      <c r="M127">
        <v>1</v>
      </c>
      <c r="N127">
        <f>4/6</f>
        <v>0.66666666666666663</v>
      </c>
      <c r="O127">
        <v>1</v>
      </c>
      <c r="P127">
        <f>4/6</f>
        <v>0.66666666666666663</v>
      </c>
      <c r="Q127">
        <v>1</v>
      </c>
      <c r="R127">
        <f>4/6</f>
        <v>0.66666666666666663</v>
      </c>
      <c r="S127">
        <f>4/6</f>
        <v>0.66666666666666663</v>
      </c>
      <c r="T127">
        <v>4</v>
      </c>
      <c r="AC127">
        <f>AC126+6</f>
        <v>21</v>
      </c>
      <c r="BA127" s="4" t="s">
        <v>1060</v>
      </c>
      <c r="BF127" t="s">
        <v>1352</v>
      </c>
      <c r="BK127" t="s">
        <v>1360</v>
      </c>
    </row>
    <row r="128" spans="1:64" x14ac:dyDescent="0.25">
      <c r="B128" t="s">
        <v>1047</v>
      </c>
      <c r="E128" t="s">
        <v>1048</v>
      </c>
      <c r="M128">
        <f t="shared" ref="M128:S128" si="31">M124*M125*M126*M127</f>
        <v>15</v>
      </c>
      <c r="N128">
        <f t="shared" si="31"/>
        <v>10</v>
      </c>
      <c r="O128">
        <f t="shared" si="31"/>
        <v>10</v>
      </c>
      <c r="P128">
        <f t="shared" si="31"/>
        <v>3.333333333333333</v>
      </c>
      <c r="Q128">
        <f t="shared" si="31"/>
        <v>12</v>
      </c>
      <c r="R128">
        <f t="shared" si="31"/>
        <v>8</v>
      </c>
      <c r="S128">
        <f t="shared" si="31"/>
        <v>24</v>
      </c>
      <c r="T128">
        <v>5</v>
      </c>
      <c r="BA128" s="4" t="s">
        <v>1054</v>
      </c>
      <c r="BF128" t="s">
        <v>1353</v>
      </c>
      <c r="BK128" t="s">
        <v>1397</v>
      </c>
    </row>
    <row r="129" spans="1:71" x14ac:dyDescent="0.25">
      <c r="B129" t="s">
        <v>1828</v>
      </c>
      <c r="M129">
        <f>M128+N128</f>
        <v>25</v>
      </c>
      <c r="O129">
        <f>O128+P128</f>
        <v>13.333333333333332</v>
      </c>
      <c r="Q129">
        <f>Q128+R128</f>
        <v>20</v>
      </c>
      <c r="T129">
        <v>6</v>
      </c>
      <c r="U129">
        <v>8</v>
      </c>
      <c r="V129">
        <f>U126+U129</f>
        <v>8</v>
      </c>
      <c r="BA129" s="19" t="s">
        <v>1055</v>
      </c>
    </row>
    <row r="130" spans="1:71" x14ac:dyDescent="0.25">
      <c r="L130">
        <v>6</v>
      </c>
      <c r="N130">
        <v>6</v>
      </c>
      <c r="O130">
        <f t="shared" ref="O130:O145" si="32">(1-(N130/20))</f>
        <v>0.7</v>
      </c>
      <c r="P130">
        <f t="shared" ref="P130:P145" si="33">O130^3</f>
        <v>0.34299999999999992</v>
      </c>
      <c r="T130">
        <v>7</v>
      </c>
      <c r="BA130" s="4" t="s">
        <v>1058</v>
      </c>
      <c r="BF130" t="s">
        <v>1354</v>
      </c>
    </row>
    <row r="131" spans="1:71" x14ac:dyDescent="0.25">
      <c r="L131">
        <f t="shared" ref="L131:L139" si="34">L130+1</f>
        <v>7</v>
      </c>
      <c r="N131">
        <f t="shared" ref="N131:N141" si="35">N130+1</f>
        <v>7</v>
      </c>
      <c r="O131">
        <f t="shared" si="32"/>
        <v>0.65</v>
      </c>
      <c r="P131">
        <f t="shared" si="33"/>
        <v>0.27462500000000006</v>
      </c>
      <c r="T131">
        <v>8</v>
      </c>
      <c r="BA131" s="4" t="s">
        <v>1056</v>
      </c>
      <c r="BF131" t="s">
        <v>681</v>
      </c>
    </row>
    <row r="132" spans="1:71" x14ac:dyDescent="0.25">
      <c r="L132">
        <f t="shared" si="34"/>
        <v>8</v>
      </c>
      <c r="M132">
        <v>15</v>
      </c>
      <c r="N132">
        <f t="shared" si="35"/>
        <v>8</v>
      </c>
      <c r="O132">
        <f t="shared" si="32"/>
        <v>0.6</v>
      </c>
      <c r="P132">
        <f t="shared" si="33"/>
        <v>0.216</v>
      </c>
      <c r="T132">
        <v>9</v>
      </c>
      <c r="V132">
        <f>U126+U129+U132</f>
        <v>8</v>
      </c>
      <c r="Y132">
        <v>1</v>
      </c>
      <c r="Z132">
        <v>1</v>
      </c>
      <c r="AA132">
        <v>1</v>
      </c>
      <c r="AB132">
        <v>1</v>
      </c>
      <c r="AC132">
        <v>3</v>
      </c>
      <c r="AD132">
        <v>5</v>
      </c>
      <c r="AE132">
        <v>10</v>
      </c>
      <c r="BA132" s="19" t="s">
        <v>1057</v>
      </c>
      <c r="BF132" t="s">
        <v>1342</v>
      </c>
    </row>
    <row r="133" spans="1:71" x14ac:dyDescent="0.25">
      <c r="L133">
        <f t="shared" si="34"/>
        <v>9</v>
      </c>
      <c r="M133">
        <v>15</v>
      </c>
      <c r="N133">
        <f t="shared" si="35"/>
        <v>9</v>
      </c>
      <c r="O133">
        <f t="shared" si="32"/>
        <v>0.55000000000000004</v>
      </c>
      <c r="P133">
        <f t="shared" si="33"/>
        <v>0.16637500000000005</v>
      </c>
      <c r="T133">
        <v>10</v>
      </c>
      <c r="Y133">
        <v>0.9</v>
      </c>
      <c r="Z133">
        <v>0.75</v>
      </c>
      <c r="AA133">
        <v>0.66</v>
      </c>
      <c r="AB133">
        <v>0.5</v>
      </c>
      <c r="AC133">
        <v>0.3</v>
      </c>
      <c r="AD133">
        <v>0.2</v>
      </c>
      <c r="AE133">
        <v>0.1</v>
      </c>
      <c r="BA133" s="19" t="s">
        <v>866</v>
      </c>
      <c r="BD133">
        <f>0.95^36</f>
        <v>0.15777921478822701</v>
      </c>
      <c r="BF133" t="s">
        <v>1355</v>
      </c>
    </row>
    <row r="134" spans="1:71" x14ac:dyDescent="0.25">
      <c r="J134">
        <f>6*(8+3+2+1+1)*7+6*(14)+2*(8+2+2+1+1)*7+2*(14)</f>
        <v>938</v>
      </c>
      <c r="L134">
        <f t="shared" si="34"/>
        <v>10</v>
      </c>
      <c r="M134">
        <v>15</v>
      </c>
      <c r="N134">
        <f t="shared" si="35"/>
        <v>10</v>
      </c>
      <c r="O134">
        <f t="shared" si="32"/>
        <v>0.5</v>
      </c>
      <c r="P134">
        <f t="shared" si="33"/>
        <v>0.125</v>
      </c>
      <c r="T134">
        <v>11</v>
      </c>
      <c r="Y134">
        <f t="shared" ref="Y134:AE141" si="36">Y133*Y132</f>
        <v>0.9</v>
      </c>
      <c r="Z134">
        <f t="shared" si="36"/>
        <v>0.75</v>
      </c>
      <c r="AA134">
        <f t="shared" si="36"/>
        <v>0.66</v>
      </c>
      <c r="AB134">
        <f t="shared" si="36"/>
        <v>0.5</v>
      </c>
      <c r="AC134">
        <f t="shared" si="36"/>
        <v>0.89999999999999991</v>
      </c>
      <c r="AD134">
        <f t="shared" si="36"/>
        <v>1</v>
      </c>
      <c r="AE134">
        <f t="shared" si="36"/>
        <v>1</v>
      </c>
      <c r="BA134" s="4" t="s">
        <v>662</v>
      </c>
      <c r="BF134" t="s">
        <v>1376</v>
      </c>
    </row>
    <row r="135" spans="1:71" x14ac:dyDescent="0.25">
      <c r="C135" t="s">
        <v>753</v>
      </c>
      <c r="L135">
        <f t="shared" si="34"/>
        <v>11</v>
      </c>
      <c r="M135">
        <v>35</v>
      </c>
      <c r="N135">
        <f t="shared" si="35"/>
        <v>11</v>
      </c>
      <c r="O135">
        <f t="shared" si="32"/>
        <v>0.44999999999999996</v>
      </c>
      <c r="P135">
        <f t="shared" si="33"/>
        <v>9.112499999999997E-2</v>
      </c>
      <c r="T135">
        <v>12</v>
      </c>
      <c r="U135">
        <v>16</v>
      </c>
      <c r="V135">
        <f>U126+U129+U132+U135</f>
        <v>24</v>
      </c>
      <c r="Y135">
        <f t="shared" si="36"/>
        <v>0.81</v>
      </c>
      <c r="Z135">
        <f t="shared" si="36"/>
        <v>0.5625</v>
      </c>
      <c r="AA135">
        <f t="shared" si="36"/>
        <v>0.43560000000000004</v>
      </c>
      <c r="AB135">
        <f t="shared" si="36"/>
        <v>0.25</v>
      </c>
      <c r="AC135">
        <f t="shared" si="36"/>
        <v>0.26999999999999996</v>
      </c>
      <c r="AD135">
        <f t="shared" si="36"/>
        <v>0.2</v>
      </c>
      <c r="AE135">
        <f t="shared" si="36"/>
        <v>0.1</v>
      </c>
      <c r="BA135" s="4" t="s">
        <v>1069</v>
      </c>
      <c r="BD135">
        <f>1/16</f>
        <v>6.25E-2</v>
      </c>
      <c r="BF135" t="s">
        <v>1361</v>
      </c>
    </row>
    <row r="136" spans="1:71" x14ac:dyDescent="0.25">
      <c r="C136">
        <f>660000*2</f>
        <v>1320000</v>
      </c>
      <c r="G136">
        <f>C136*0.8</f>
        <v>1056000</v>
      </c>
      <c r="H136">
        <f>G136-200000</f>
        <v>856000</v>
      </c>
      <c r="L136">
        <f t="shared" si="34"/>
        <v>12</v>
      </c>
      <c r="M136">
        <f>AVERAGE(M132:M135)</f>
        <v>20</v>
      </c>
      <c r="N136">
        <f t="shared" si="35"/>
        <v>12</v>
      </c>
      <c r="O136">
        <f t="shared" si="32"/>
        <v>0.4</v>
      </c>
      <c r="P136">
        <f t="shared" si="33"/>
        <v>6.4000000000000015E-2</v>
      </c>
      <c r="T136">
        <v>13</v>
      </c>
      <c r="Y136">
        <f t="shared" si="36"/>
        <v>0.72900000000000009</v>
      </c>
      <c r="Z136">
        <f t="shared" si="36"/>
        <v>0.421875</v>
      </c>
      <c r="AA136">
        <f t="shared" si="36"/>
        <v>0.28749600000000003</v>
      </c>
      <c r="AB136">
        <f t="shared" si="36"/>
        <v>0.125</v>
      </c>
      <c r="AC136">
        <f t="shared" si="36"/>
        <v>0.24299999999999994</v>
      </c>
      <c r="AD136">
        <f t="shared" si="36"/>
        <v>0.2</v>
      </c>
      <c r="AE136">
        <f t="shared" si="36"/>
        <v>0.1</v>
      </c>
      <c r="BA136" s="4" t="s">
        <v>1370</v>
      </c>
      <c r="BD136">
        <f>1-BD135</f>
        <v>0.9375</v>
      </c>
      <c r="BF136" t="s">
        <v>1365</v>
      </c>
    </row>
    <row r="137" spans="1:71" x14ac:dyDescent="0.25">
      <c r="B137">
        <v>1</v>
      </c>
      <c r="C137" s="17" t="s">
        <v>754</v>
      </c>
      <c r="G137">
        <v>1</v>
      </c>
      <c r="L137">
        <f t="shared" si="34"/>
        <v>13</v>
      </c>
      <c r="N137">
        <f t="shared" si="35"/>
        <v>13</v>
      </c>
      <c r="O137">
        <f t="shared" si="32"/>
        <v>0.35</v>
      </c>
      <c r="P137">
        <f t="shared" si="33"/>
        <v>4.287499999999999E-2</v>
      </c>
      <c r="Q137">
        <v>1</v>
      </c>
      <c r="T137">
        <v>14</v>
      </c>
      <c r="Y137">
        <f t="shared" si="36"/>
        <v>0.59049000000000007</v>
      </c>
      <c r="Z137">
        <f t="shared" si="36"/>
        <v>0.2373046875</v>
      </c>
      <c r="AA137">
        <f t="shared" si="36"/>
        <v>0.12523325760000004</v>
      </c>
      <c r="AB137">
        <f t="shared" si="36"/>
        <v>3.125E-2</v>
      </c>
      <c r="AC137">
        <f t="shared" si="36"/>
        <v>6.5609999999999974E-2</v>
      </c>
      <c r="AD137">
        <f t="shared" si="36"/>
        <v>4.0000000000000008E-2</v>
      </c>
      <c r="AE137">
        <f t="shared" si="36"/>
        <v>1.0000000000000002E-2</v>
      </c>
      <c r="BA137" s="19" t="s">
        <v>1073</v>
      </c>
      <c r="BD137">
        <f>BD136^36</f>
        <v>9.7941319432611751E-2</v>
      </c>
      <c r="BF137" t="s">
        <v>1366</v>
      </c>
    </row>
    <row r="138" spans="1:71" x14ac:dyDescent="0.25">
      <c r="A138">
        <v>2</v>
      </c>
      <c r="B138">
        <v>2</v>
      </c>
      <c r="C138" t="s">
        <v>755</v>
      </c>
      <c r="L138">
        <f t="shared" si="34"/>
        <v>14</v>
      </c>
      <c r="N138">
        <f t="shared" si="35"/>
        <v>14</v>
      </c>
      <c r="O138">
        <f t="shared" si="32"/>
        <v>0.30000000000000004</v>
      </c>
      <c r="P138">
        <f t="shared" si="33"/>
        <v>2.700000000000001E-2</v>
      </c>
      <c r="Q138">
        <v>2</v>
      </c>
      <c r="T138">
        <v>15</v>
      </c>
      <c r="U138">
        <v>4</v>
      </c>
      <c r="V138">
        <f>U126+U129+U132+U135+U138-2</f>
        <v>26</v>
      </c>
      <c r="Y138">
        <f t="shared" si="36"/>
        <v>0.4304672100000001</v>
      </c>
      <c r="Z138">
        <f t="shared" si="36"/>
        <v>0.1001129150390625</v>
      </c>
      <c r="AA138">
        <f t="shared" si="36"/>
        <v>3.6004060626969613E-2</v>
      </c>
      <c r="AB138">
        <f t="shared" si="36"/>
        <v>3.90625E-3</v>
      </c>
      <c r="AC138">
        <f t="shared" si="36"/>
        <v>1.5943229999999989E-2</v>
      </c>
      <c r="AD138">
        <f t="shared" si="36"/>
        <v>8.0000000000000019E-3</v>
      </c>
      <c r="AE138">
        <f t="shared" si="36"/>
        <v>1.0000000000000002E-3</v>
      </c>
      <c r="BA138" s="4" t="s">
        <v>1076</v>
      </c>
      <c r="BF138" s="4" t="s">
        <v>1372</v>
      </c>
    </row>
    <row r="139" spans="1:71" x14ac:dyDescent="0.25">
      <c r="A139">
        <v>2</v>
      </c>
      <c r="B139">
        <v>2</v>
      </c>
      <c r="C139" t="s">
        <v>756</v>
      </c>
      <c r="J139" t="s">
        <v>797</v>
      </c>
      <c r="K139" t="s">
        <v>798</v>
      </c>
      <c r="L139">
        <f t="shared" si="34"/>
        <v>15</v>
      </c>
      <c r="N139">
        <f t="shared" si="35"/>
        <v>15</v>
      </c>
      <c r="O139">
        <f t="shared" si="32"/>
        <v>0.25</v>
      </c>
      <c r="P139">
        <f t="shared" si="33"/>
        <v>1.5625E-2</v>
      </c>
      <c r="Q139">
        <v>3</v>
      </c>
      <c r="T139">
        <v>16</v>
      </c>
      <c r="Y139">
        <f t="shared" si="36"/>
        <v>0.25418658283290008</v>
      </c>
      <c r="Z139">
        <f t="shared" si="36"/>
        <v>2.3757264018058777E-2</v>
      </c>
      <c r="AA139">
        <f t="shared" si="36"/>
        <v>4.5089057991433042E-3</v>
      </c>
      <c r="AB139">
        <f t="shared" si="36"/>
        <v>1.220703125E-4</v>
      </c>
      <c r="AC139">
        <f t="shared" si="36"/>
        <v>1.0460353202999988E-3</v>
      </c>
      <c r="AD139">
        <f t="shared" si="36"/>
        <v>3.2000000000000013E-4</v>
      </c>
      <c r="AE139">
        <f t="shared" si="36"/>
        <v>1.0000000000000004E-5</v>
      </c>
      <c r="BA139" t="s">
        <v>1070</v>
      </c>
      <c r="BF139" s="4" t="s">
        <v>1371</v>
      </c>
    </row>
    <row r="140" spans="1:71" x14ac:dyDescent="0.25">
      <c r="A140">
        <v>2</v>
      </c>
      <c r="B140">
        <v>2</v>
      </c>
      <c r="C140" t="s">
        <v>763</v>
      </c>
      <c r="J140" t="s">
        <v>620</v>
      </c>
      <c r="K140" t="s">
        <v>799</v>
      </c>
      <c r="N140">
        <f t="shared" si="35"/>
        <v>16</v>
      </c>
      <c r="O140">
        <f t="shared" si="32"/>
        <v>0.19999999999999996</v>
      </c>
      <c r="P140">
        <f t="shared" si="33"/>
        <v>7.999999999999995E-3</v>
      </c>
      <c r="Q140">
        <v>4</v>
      </c>
      <c r="T140">
        <v>17</v>
      </c>
      <c r="Y140">
        <f t="shared" si="36"/>
        <v>0.10941898913151242</v>
      </c>
      <c r="Z140">
        <f t="shared" si="36"/>
        <v>2.3784089542004949E-3</v>
      </c>
      <c r="AA140">
        <f t="shared" si="36"/>
        <v>1.6233891775365038E-4</v>
      </c>
      <c r="AB140">
        <f t="shared" si="36"/>
        <v>4.76837158203125E-7</v>
      </c>
      <c r="AC140">
        <f t="shared" si="36"/>
        <v>1.667718169966654E-5</v>
      </c>
      <c r="AD140">
        <f t="shared" si="36"/>
        <v>2.5600000000000017E-6</v>
      </c>
      <c r="AE140">
        <f t="shared" si="36"/>
        <v>1.0000000000000007E-8</v>
      </c>
      <c r="BA140" t="s">
        <v>1071</v>
      </c>
      <c r="BF140" t="s">
        <v>1373</v>
      </c>
    </row>
    <row r="141" spans="1:71" x14ac:dyDescent="0.25">
      <c r="B141">
        <v>1</v>
      </c>
      <c r="C141" s="17" t="s">
        <v>758</v>
      </c>
      <c r="M141">
        <f>AVERAGE(N130:N134)</f>
        <v>8</v>
      </c>
      <c r="N141">
        <f t="shared" si="35"/>
        <v>17</v>
      </c>
      <c r="O141">
        <f t="shared" si="32"/>
        <v>0.15000000000000002</v>
      </c>
      <c r="P141">
        <f t="shared" si="33"/>
        <v>3.3750000000000013E-3</v>
      </c>
      <c r="Q141">
        <v>5</v>
      </c>
      <c r="T141">
        <v>18</v>
      </c>
      <c r="U141">
        <v>4</v>
      </c>
      <c r="Y141">
        <f t="shared" si="36"/>
        <v>2.7812838944369374E-2</v>
      </c>
      <c r="Z141">
        <f t="shared" si="36"/>
        <v>5.650448946785622E-5</v>
      </c>
      <c r="AA141">
        <f t="shared" si="36"/>
        <v>7.3197088768608207E-7</v>
      </c>
      <c r="AB141">
        <f t="shared" si="36"/>
        <v>5.8207660913467407E-11</v>
      </c>
      <c r="AC141">
        <f t="shared" si="36"/>
        <v>1.7444921100911968E-8</v>
      </c>
      <c r="AD141">
        <f t="shared" si="36"/>
        <v>8.1920000000000096E-10</v>
      </c>
      <c r="AE141">
        <f t="shared" si="36"/>
        <v>1.0000000000000012E-13</v>
      </c>
      <c r="BA141" t="s">
        <v>1065</v>
      </c>
      <c r="BF141" t="s">
        <v>1375</v>
      </c>
    </row>
    <row r="142" spans="1:71" x14ac:dyDescent="0.25">
      <c r="C142">
        <v>1400000</v>
      </c>
      <c r="G142">
        <f>C142*0.8</f>
        <v>1120000</v>
      </c>
      <c r="H142">
        <f>G142-200000</f>
        <v>920000</v>
      </c>
      <c r="O142">
        <f t="shared" si="32"/>
        <v>1</v>
      </c>
      <c r="P142">
        <f t="shared" si="33"/>
        <v>1</v>
      </c>
      <c r="Q142">
        <v>6</v>
      </c>
      <c r="Y142">
        <f t="shared" ref="Y142:AE142" si="37">SUM(Y132:Y141)</f>
        <v>5.7513756209087816</v>
      </c>
      <c r="Z142">
        <f t="shared" si="37"/>
        <v>3.8479847800007896</v>
      </c>
      <c r="AA142">
        <f t="shared" si="37"/>
        <v>3.2090052949147552</v>
      </c>
      <c r="AB142">
        <f t="shared" si="37"/>
        <v>2.4102787972078659</v>
      </c>
      <c r="AC142">
        <f t="shared" si="37"/>
        <v>4.7956159599469208</v>
      </c>
      <c r="AD142">
        <f t="shared" si="37"/>
        <v>6.6483225608192011</v>
      </c>
      <c r="AE142">
        <f t="shared" si="37"/>
        <v>11.311010010000098</v>
      </c>
      <c r="BA142" s="1" t="s">
        <v>733</v>
      </c>
      <c r="BF142">
        <f>4.5*3+5</f>
        <v>18.5</v>
      </c>
    </row>
    <row r="143" spans="1:71" x14ac:dyDescent="0.25">
      <c r="B143">
        <v>1</v>
      </c>
      <c r="C143" s="17" t="s">
        <v>759</v>
      </c>
      <c r="G143">
        <v>2</v>
      </c>
      <c r="O143">
        <f t="shared" si="32"/>
        <v>1</v>
      </c>
      <c r="P143">
        <f t="shared" si="33"/>
        <v>1</v>
      </c>
      <c r="Q143">
        <v>7</v>
      </c>
      <c r="BA143" t="s">
        <v>1369</v>
      </c>
      <c r="BF143">
        <f>BF142*5</f>
        <v>92.5</v>
      </c>
      <c r="BG143">
        <f>55+55+55</f>
        <v>165</v>
      </c>
      <c r="BI143" t="s">
        <v>1378</v>
      </c>
    </row>
    <row r="144" spans="1:71" x14ac:dyDescent="0.25">
      <c r="A144">
        <v>2</v>
      </c>
      <c r="B144">
        <v>2</v>
      </c>
      <c r="C144" t="s">
        <v>760</v>
      </c>
      <c r="M144">
        <f>1600*30</f>
        <v>48000</v>
      </c>
      <c r="O144">
        <f t="shared" si="32"/>
        <v>1</v>
      </c>
      <c r="P144">
        <f t="shared" si="33"/>
        <v>1</v>
      </c>
      <c r="Q144">
        <v>8</v>
      </c>
      <c r="BG144">
        <f>BF143+BG143</f>
        <v>257.5</v>
      </c>
      <c r="BI144" t="s">
        <v>1377</v>
      </c>
      <c r="BS144" t="s">
        <v>1430</v>
      </c>
    </row>
    <row r="145" spans="1:71" x14ac:dyDescent="0.25">
      <c r="A145">
        <v>2</v>
      </c>
      <c r="B145">
        <v>2</v>
      </c>
      <c r="C145" t="s">
        <v>761</v>
      </c>
      <c r="K145" s="18"/>
      <c r="L145">
        <f>AVERAGE(L130:L144)</f>
        <v>10.5</v>
      </c>
      <c r="N145">
        <f>AVERAGE(N130:N144)</f>
        <v>11.5</v>
      </c>
      <c r="O145">
        <f t="shared" si="32"/>
        <v>0.42500000000000004</v>
      </c>
      <c r="P145">
        <f t="shared" si="33"/>
        <v>7.6765625000000018E-2</v>
      </c>
      <c r="Q145">
        <v>9</v>
      </c>
      <c r="R145">
        <f>19+4+4</f>
        <v>27</v>
      </c>
      <c r="BI145" t="s">
        <v>1396</v>
      </c>
    </row>
    <row r="146" spans="1:71" x14ac:dyDescent="0.25">
      <c r="A146">
        <v>2</v>
      </c>
      <c r="B146">
        <v>2</v>
      </c>
      <c r="C146" t="s">
        <v>762</v>
      </c>
      <c r="N146" t="s">
        <v>797</v>
      </c>
      <c r="O146" t="s">
        <v>798</v>
      </c>
      <c r="Q146">
        <v>10</v>
      </c>
      <c r="T146">
        <f>1.5+4+5+2.5</f>
        <v>13</v>
      </c>
      <c r="BH146" t="s">
        <v>1389</v>
      </c>
      <c r="BS146" t="s">
        <v>1424</v>
      </c>
    </row>
    <row r="147" spans="1:71" x14ac:dyDescent="0.25">
      <c r="C147">
        <v>2000000</v>
      </c>
      <c r="G147">
        <f>C147*0.8</f>
        <v>1600000</v>
      </c>
      <c r="H147">
        <f>G147-200000</f>
        <v>1400000</v>
      </c>
      <c r="N147" t="s">
        <v>620</v>
      </c>
      <c r="O147" t="s">
        <v>799</v>
      </c>
      <c r="P147">
        <f>586000-1250000</f>
        <v>-664000</v>
      </c>
      <c r="Q147">
        <v>11</v>
      </c>
      <c r="T147">
        <f>T146*3+4.5+2+5</f>
        <v>50.5</v>
      </c>
      <c r="BH147" t="s">
        <v>1388</v>
      </c>
      <c r="BI147" t="s">
        <v>1379</v>
      </c>
      <c r="BP147" t="s">
        <v>1383</v>
      </c>
      <c r="BS147" t="s">
        <v>1431</v>
      </c>
    </row>
    <row r="148" spans="1:71" x14ac:dyDescent="0.25">
      <c r="A148">
        <v>2</v>
      </c>
      <c r="B148">
        <v>2</v>
      </c>
      <c r="C148" t="s">
        <v>757</v>
      </c>
      <c r="N148" t="s">
        <v>814</v>
      </c>
      <c r="O148" t="s">
        <v>817</v>
      </c>
      <c r="Q148">
        <v>12</v>
      </c>
      <c r="T148">
        <f>4*(2+5+3+3)</f>
        <v>52</v>
      </c>
      <c r="BH148" t="s">
        <v>1388</v>
      </c>
      <c r="BI148" t="s">
        <v>1391</v>
      </c>
      <c r="BS148" t="s">
        <v>1432</v>
      </c>
    </row>
    <row r="149" spans="1:71" x14ac:dyDescent="0.25">
      <c r="B149">
        <v>0</v>
      </c>
      <c r="C149" s="4" t="s">
        <v>764</v>
      </c>
      <c r="K149">
        <f>6.5*3*5</f>
        <v>97.5</v>
      </c>
      <c r="N149" t="s">
        <v>815</v>
      </c>
      <c r="O149" t="s">
        <v>816</v>
      </c>
      <c r="Q149">
        <f>AVERAGE(Q129:Q148)</f>
        <v>7.5384615384615383</v>
      </c>
      <c r="BH149" t="s">
        <v>1388</v>
      </c>
      <c r="BI149" t="s">
        <v>1382</v>
      </c>
      <c r="BS149" t="s">
        <v>1421</v>
      </c>
    </row>
    <row r="150" spans="1:71" x14ac:dyDescent="0.25">
      <c r="B150">
        <v>0</v>
      </c>
      <c r="C150" s="4" t="s">
        <v>765</v>
      </c>
      <c r="BF150" t="s">
        <v>1393</v>
      </c>
      <c r="BH150">
        <v>3</v>
      </c>
      <c r="BI150" t="s">
        <v>1386</v>
      </c>
      <c r="BS150" t="s">
        <v>1422</v>
      </c>
    </row>
    <row r="151" spans="1:71" x14ac:dyDescent="0.25">
      <c r="B151">
        <v>1</v>
      </c>
      <c r="C151" s="17" t="s">
        <v>752</v>
      </c>
      <c r="L151">
        <f>(4.5+5+2)*5*4+4*10</f>
        <v>270</v>
      </c>
      <c r="T151">
        <f>28-15</f>
        <v>13</v>
      </c>
      <c r="BH151">
        <v>3</v>
      </c>
      <c r="BI151" t="s">
        <v>1380</v>
      </c>
      <c r="BP151" t="s">
        <v>1384</v>
      </c>
      <c r="BS151" t="s">
        <v>1423</v>
      </c>
    </row>
    <row r="152" spans="1:71" x14ac:dyDescent="0.25">
      <c r="A152">
        <v>2</v>
      </c>
      <c r="B152">
        <v>2</v>
      </c>
      <c r="C152" t="s">
        <v>766</v>
      </c>
      <c r="L152">
        <f>L151*0.25</f>
        <v>67.5</v>
      </c>
      <c r="T152">
        <f>7/20</f>
        <v>0.35</v>
      </c>
      <c r="BF152" t="s">
        <v>1394</v>
      </c>
      <c r="BH152">
        <v>4</v>
      </c>
      <c r="BI152" t="s">
        <v>1387</v>
      </c>
      <c r="BP152" t="s">
        <v>1385</v>
      </c>
      <c r="BS152" t="s">
        <v>1433</v>
      </c>
    </row>
    <row r="153" spans="1:71" x14ac:dyDescent="0.25">
      <c r="C153">
        <v>2500000</v>
      </c>
      <c r="G153">
        <f>C153*0.8</f>
        <v>2000000</v>
      </c>
      <c r="H153">
        <f>G153-200000</f>
        <v>1800000</v>
      </c>
      <c r="O153">
        <f>10/6</f>
        <v>1.6666666666666667</v>
      </c>
      <c r="BH153">
        <v>4</v>
      </c>
      <c r="BI153" t="s">
        <v>1381</v>
      </c>
      <c r="BR153">
        <f>10/6</f>
        <v>1.6666666666666667</v>
      </c>
      <c r="BS153" t="s">
        <v>1434</v>
      </c>
    </row>
    <row r="154" spans="1:71" x14ac:dyDescent="0.25">
      <c r="B154">
        <v>0</v>
      </c>
      <c r="C154" s="4" t="s">
        <v>767</v>
      </c>
      <c r="BF154" t="s">
        <v>1398</v>
      </c>
      <c r="BH154">
        <v>4</v>
      </c>
      <c r="BI154" t="s">
        <v>1402</v>
      </c>
      <c r="BR154">
        <f>BR153*4*2</f>
        <v>13.333333333333334</v>
      </c>
      <c r="BS154" t="s">
        <v>1425</v>
      </c>
    </row>
    <row r="155" spans="1:71" x14ac:dyDescent="0.25">
      <c r="B155">
        <v>0</v>
      </c>
      <c r="C155" t="s">
        <v>768</v>
      </c>
      <c r="BH155">
        <v>4</v>
      </c>
      <c r="BI155" t="s">
        <v>1392</v>
      </c>
      <c r="BS155" t="s">
        <v>1426</v>
      </c>
    </row>
    <row r="156" spans="1:71" x14ac:dyDescent="0.25">
      <c r="Q156">
        <f>1+4+3+4</f>
        <v>12</v>
      </c>
      <c r="BH156">
        <v>4</v>
      </c>
      <c r="BI156" t="s">
        <v>1390</v>
      </c>
      <c r="BS156" t="s">
        <v>1427</v>
      </c>
    </row>
    <row r="157" spans="1:71" x14ac:dyDescent="0.25">
      <c r="Q157">
        <f>1+4</f>
        <v>5</v>
      </c>
      <c r="R157">
        <f>4.5*3+5</f>
        <v>18.5</v>
      </c>
      <c r="BG157" t="s">
        <v>669</v>
      </c>
      <c r="BH157">
        <v>4</v>
      </c>
      <c r="BI157" t="s">
        <v>1400</v>
      </c>
      <c r="BS157" t="s">
        <v>1428</v>
      </c>
    </row>
    <row r="158" spans="1:71" x14ac:dyDescent="0.25">
      <c r="K158" t="s">
        <v>769</v>
      </c>
      <c r="R158">
        <f>R157*7</f>
        <v>129.5</v>
      </c>
      <c r="BG158" t="s">
        <v>670</v>
      </c>
      <c r="BH158">
        <v>4</v>
      </c>
      <c r="BI158" t="s">
        <v>1401</v>
      </c>
    </row>
    <row r="159" spans="1:71" x14ac:dyDescent="0.25">
      <c r="K159" t="s">
        <v>770</v>
      </c>
      <c r="BF159" t="s">
        <v>1395</v>
      </c>
      <c r="BH159">
        <v>5</v>
      </c>
      <c r="BI159" t="s">
        <v>1403</v>
      </c>
    </row>
    <row r="160" spans="1:71" x14ac:dyDescent="0.25">
      <c r="D160" t="s">
        <v>1050</v>
      </c>
      <c r="K160" t="s">
        <v>666</v>
      </c>
      <c r="BF160" t="s">
        <v>1399</v>
      </c>
      <c r="BH160">
        <v>5</v>
      </c>
      <c r="BI160" t="s">
        <v>1404</v>
      </c>
    </row>
    <row r="161" spans="2:71" x14ac:dyDescent="0.25">
      <c r="D161" t="s">
        <v>1052</v>
      </c>
      <c r="K161" t="s">
        <v>771</v>
      </c>
      <c r="BH161">
        <v>5</v>
      </c>
      <c r="BI161" t="s">
        <v>1405</v>
      </c>
    </row>
    <row r="162" spans="2:71" x14ac:dyDescent="0.25">
      <c r="C162">
        <v>1</v>
      </c>
      <c r="D162" t="s">
        <v>1053</v>
      </c>
      <c r="E162" t="s">
        <v>1051</v>
      </c>
      <c r="K162" t="s">
        <v>772</v>
      </c>
      <c r="BH162">
        <v>5</v>
      </c>
      <c r="BI162" t="s">
        <v>1406</v>
      </c>
    </row>
    <row r="163" spans="2:71" x14ac:dyDescent="0.25">
      <c r="B163" t="s">
        <v>2093</v>
      </c>
      <c r="C163">
        <v>1</v>
      </c>
      <c r="D163" t="s">
        <v>733</v>
      </c>
      <c r="K163" t="s">
        <v>773</v>
      </c>
      <c r="BH163">
        <v>5</v>
      </c>
      <c r="BI163" t="s">
        <v>1407</v>
      </c>
    </row>
    <row r="164" spans="2:71" x14ac:dyDescent="0.25">
      <c r="B164" t="s">
        <v>2093</v>
      </c>
      <c r="C164">
        <v>1</v>
      </c>
      <c r="D164" t="s">
        <v>1060</v>
      </c>
      <c r="K164" t="s">
        <v>775</v>
      </c>
      <c r="BH164">
        <v>5</v>
      </c>
      <c r="BI164" t="s">
        <v>1408</v>
      </c>
    </row>
    <row r="165" spans="2:71" x14ac:dyDescent="0.25">
      <c r="D165" t="s">
        <v>1054</v>
      </c>
      <c r="K165" t="s">
        <v>774</v>
      </c>
      <c r="BI165" t="s">
        <v>1409</v>
      </c>
    </row>
    <row r="166" spans="2:71" x14ac:dyDescent="0.25">
      <c r="D166" t="s">
        <v>1055</v>
      </c>
      <c r="K166" t="s">
        <v>776</v>
      </c>
      <c r="N166">
        <f>21*0.2</f>
        <v>4.2</v>
      </c>
      <c r="U166" t="s">
        <v>806</v>
      </c>
      <c r="W166" t="s">
        <v>808</v>
      </c>
    </row>
    <row r="167" spans="2:71" x14ac:dyDescent="0.25">
      <c r="B167" t="s">
        <v>2093</v>
      </c>
      <c r="C167">
        <v>1</v>
      </c>
      <c r="D167" t="s">
        <v>1058</v>
      </c>
      <c r="K167" t="s">
        <v>777</v>
      </c>
      <c r="T167" t="s">
        <v>805</v>
      </c>
      <c r="V167" t="s">
        <v>807</v>
      </c>
      <c r="X167" t="s">
        <v>811</v>
      </c>
    </row>
    <row r="168" spans="2:71" x14ac:dyDescent="0.25">
      <c r="B168" t="s">
        <v>2093</v>
      </c>
      <c r="C168">
        <v>1</v>
      </c>
      <c r="D168" t="s">
        <v>1056</v>
      </c>
      <c r="K168" t="s">
        <v>778</v>
      </c>
      <c r="R168" t="s">
        <v>801</v>
      </c>
      <c r="S168">
        <v>3</v>
      </c>
      <c r="T168">
        <v>2</v>
      </c>
      <c r="U168">
        <v>1</v>
      </c>
      <c r="V168">
        <v>1</v>
      </c>
      <c r="W168">
        <v>2</v>
      </c>
      <c r="X168">
        <v>1</v>
      </c>
      <c r="Z168">
        <f>S168-T168-U168-V168-W168-X168-Y168</f>
        <v>-4</v>
      </c>
    </row>
    <row r="169" spans="2:71" x14ac:dyDescent="0.25">
      <c r="C169">
        <v>1</v>
      </c>
      <c r="D169" t="s">
        <v>1057</v>
      </c>
      <c r="K169" t="s">
        <v>779</v>
      </c>
      <c r="R169" t="s">
        <v>802</v>
      </c>
      <c r="S169">
        <v>5</v>
      </c>
      <c r="T169">
        <v>2</v>
      </c>
      <c r="U169">
        <v>1</v>
      </c>
      <c r="V169">
        <v>1</v>
      </c>
      <c r="W169">
        <v>2</v>
      </c>
      <c r="X169">
        <v>1</v>
      </c>
      <c r="Z169">
        <f>S169-T169-U169-V169-W169-X169-Y169</f>
        <v>-2</v>
      </c>
      <c r="BN169">
        <f>10-5-2-2-1-1</f>
        <v>-1</v>
      </c>
    </row>
    <row r="170" spans="2:71" x14ac:dyDescent="0.25">
      <c r="D170" t="s">
        <v>1059</v>
      </c>
      <c r="K170" t="s">
        <v>780</v>
      </c>
      <c r="R170" t="s">
        <v>803</v>
      </c>
      <c r="S170">
        <v>4</v>
      </c>
      <c r="T170">
        <v>2</v>
      </c>
      <c r="U170">
        <v>1</v>
      </c>
      <c r="V170">
        <v>1</v>
      </c>
      <c r="W170">
        <v>0</v>
      </c>
      <c r="X170">
        <v>1</v>
      </c>
      <c r="Z170">
        <f>S170-T170-U170-V170-W170-X170-Y170</f>
        <v>-1</v>
      </c>
      <c r="BJ170">
        <f>5*(6.5+6.5+3+5+10+2)-48</f>
        <v>117</v>
      </c>
      <c r="BM170" t="s">
        <v>821</v>
      </c>
      <c r="BN170" t="s">
        <v>1126</v>
      </c>
      <c r="BO170" t="s">
        <v>1277</v>
      </c>
      <c r="BP170" t="s">
        <v>496</v>
      </c>
      <c r="BQ170" t="s">
        <v>1278</v>
      </c>
      <c r="BR170" t="s">
        <v>509</v>
      </c>
    </row>
    <row r="171" spans="2:71" x14ac:dyDescent="0.25">
      <c r="B171" t="s">
        <v>2093</v>
      </c>
      <c r="C171">
        <v>1</v>
      </c>
      <c r="D171" t="s">
        <v>866</v>
      </c>
      <c r="K171" t="s">
        <v>781</v>
      </c>
      <c r="R171" t="s">
        <v>804</v>
      </c>
      <c r="S171">
        <v>4</v>
      </c>
      <c r="T171">
        <v>2</v>
      </c>
      <c r="U171">
        <v>1</v>
      </c>
      <c r="V171">
        <v>1</v>
      </c>
      <c r="W171">
        <v>2</v>
      </c>
      <c r="X171">
        <v>1</v>
      </c>
      <c r="Z171">
        <f>S171-T171-U171-V171-W171-X171-Y171</f>
        <v>-3</v>
      </c>
      <c r="BJ171">
        <f>BJ170*3</f>
        <v>351</v>
      </c>
      <c r="BL171" t="s">
        <v>1308</v>
      </c>
      <c r="BM171">
        <v>-1</v>
      </c>
      <c r="BN171">
        <v>-8</v>
      </c>
      <c r="BO171">
        <f>BM171-BN171</f>
        <v>7</v>
      </c>
      <c r="BP171">
        <f>(20-BO171)/20</f>
        <v>0.65</v>
      </c>
      <c r="BQ171">
        <v>2</v>
      </c>
      <c r="BR171">
        <v>4</v>
      </c>
      <c r="BS171">
        <f>BR171*BQ171*BP171</f>
        <v>5.2</v>
      </c>
    </row>
    <row r="172" spans="2:71" x14ac:dyDescent="0.25">
      <c r="B172" t="s">
        <v>2093</v>
      </c>
      <c r="C172">
        <v>1</v>
      </c>
      <c r="D172" t="s">
        <v>662</v>
      </c>
      <c r="K172" t="s">
        <v>782</v>
      </c>
      <c r="R172" t="s">
        <v>800</v>
      </c>
      <c r="S172">
        <v>6</v>
      </c>
      <c r="T172">
        <v>2</v>
      </c>
      <c r="U172">
        <v>1</v>
      </c>
      <c r="V172">
        <v>1</v>
      </c>
      <c r="W172">
        <v>0</v>
      </c>
      <c r="X172">
        <v>0</v>
      </c>
      <c r="Z172">
        <f>S172-T172-U172-V172-W172-X172-Y172</f>
        <v>2</v>
      </c>
      <c r="BJ172">
        <f>BJ171*0.9</f>
        <v>315.90000000000003</v>
      </c>
      <c r="BM172">
        <v>-1</v>
      </c>
      <c r="BN172">
        <f>BN171+BS171</f>
        <v>-2.8</v>
      </c>
      <c r="BO172">
        <f>BM172-BN172</f>
        <v>1.7999999999999998</v>
      </c>
      <c r="BP172">
        <f>(20-BO172)/20</f>
        <v>0.90999999999999992</v>
      </c>
      <c r="BQ172">
        <v>2</v>
      </c>
      <c r="BR172">
        <v>4</v>
      </c>
      <c r="BS172">
        <f>BR172*BQ172*BP172</f>
        <v>7.2799999999999994</v>
      </c>
    </row>
    <row r="173" spans="2:71" x14ac:dyDescent="0.25">
      <c r="B173" t="s">
        <v>2094</v>
      </c>
      <c r="C173">
        <v>1</v>
      </c>
      <c r="D173" t="s">
        <v>1061</v>
      </c>
      <c r="O173">
        <f>20*0.6</f>
        <v>12</v>
      </c>
    </row>
    <row r="174" spans="2:71" x14ac:dyDescent="0.25">
      <c r="B174" t="s">
        <v>2093</v>
      </c>
      <c r="C174">
        <v>1</v>
      </c>
      <c r="D174" t="s">
        <v>1062</v>
      </c>
      <c r="U174" t="s">
        <v>806</v>
      </c>
      <c r="W174" t="s">
        <v>810</v>
      </c>
    </row>
    <row r="175" spans="2:71" x14ac:dyDescent="0.25">
      <c r="D175" t="s">
        <v>1063</v>
      </c>
      <c r="T175" t="s">
        <v>809</v>
      </c>
      <c r="V175" t="s">
        <v>807</v>
      </c>
      <c r="X175" t="s">
        <v>811</v>
      </c>
      <c r="AB175">
        <f>4/20</f>
        <v>0.2</v>
      </c>
    </row>
    <row r="176" spans="2:71" x14ac:dyDescent="0.25">
      <c r="D176" t="s">
        <v>1064</v>
      </c>
      <c r="R176" t="s">
        <v>801</v>
      </c>
      <c r="S176">
        <v>3</v>
      </c>
      <c r="T176">
        <v>2</v>
      </c>
      <c r="U176">
        <v>1</v>
      </c>
      <c r="V176">
        <v>1</v>
      </c>
      <c r="W176">
        <v>1</v>
      </c>
      <c r="X176">
        <v>1</v>
      </c>
      <c r="Z176">
        <f>S176-T176-U176-V176-W176-X176-Y176</f>
        <v>-3</v>
      </c>
      <c r="AB176">
        <f>0.8^6</f>
        <v>0.26214400000000015</v>
      </c>
      <c r="BH176">
        <f>1-7-1</f>
        <v>-7</v>
      </c>
    </row>
    <row r="177" spans="2:69" x14ac:dyDescent="0.25">
      <c r="C177">
        <v>1</v>
      </c>
      <c r="D177" t="s">
        <v>1074</v>
      </c>
      <c r="J177">
        <f>4.5*20*8</f>
        <v>720</v>
      </c>
      <c r="P177">
        <f>4.5+2+1+5</f>
        <v>12.5</v>
      </c>
      <c r="R177" t="s">
        <v>802</v>
      </c>
      <c r="S177">
        <v>5</v>
      </c>
      <c r="T177">
        <v>2</v>
      </c>
      <c r="U177">
        <v>1</v>
      </c>
      <c r="V177">
        <v>1</v>
      </c>
      <c r="W177">
        <v>1</v>
      </c>
      <c r="X177">
        <v>1</v>
      </c>
      <c r="Z177">
        <f>S177-T177-U177-V177-W177-X177-Y177</f>
        <v>-1</v>
      </c>
      <c r="AB177">
        <f>AB176^4</f>
        <v>4.7223664828696561E-3</v>
      </c>
      <c r="BH177">
        <f>54*2</f>
        <v>108</v>
      </c>
    </row>
    <row r="178" spans="2:69" x14ac:dyDescent="0.25">
      <c r="B178" t="s">
        <v>2093</v>
      </c>
      <c r="C178">
        <v>1</v>
      </c>
      <c r="D178" t="s">
        <v>1065</v>
      </c>
      <c r="G178">
        <f>5*(4.5+2+2)+5</f>
        <v>47.5</v>
      </c>
      <c r="J178">
        <f>5*120</f>
        <v>600</v>
      </c>
      <c r="P178">
        <f>5.5+3+1+5</f>
        <v>14.5</v>
      </c>
      <c r="R178" t="s">
        <v>803</v>
      </c>
      <c r="S178">
        <v>4</v>
      </c>
      <c r="T178">
        <v>2</v>
      </c>
      <c r="U178">
        <v>1</v>
      </c>
      <c r="V178">
        <v>1</v>
      </c>
      <c r="W178">
        <v>1</v>
      </c>
      <c r="X178">
        <v>1</v>
      </c>
      <c r="Z178">
        <f>S178-T178-U178-V178-W178-X178-Y178</f>
        <v>-2</v>
      </c>
      <c r="BM178" t="s">
        <v>729</v>
      </c>
      <c r="BN178" t="s">
        <v>676</v>
      </c>
      <c r="BO178" t="s">
        <v>675</v>
      </c>
      <c r="BP178" t="s">
        <v>557</v>
      </c>
      <c r="BQ178" t="s">
        <v>736</v>
      </c>
    </row>
    <row r="179" spans="2:69" x14ac:dyDescent="0.25">
      <c r="D179" t="s">
        <v>1075</v>
      </c>
      <c r="G179">
        <f>5*(4.5+9)+5</f>
        <v>72.5</v>
      </c>
      <c r="M179">
        <f>52/6</f>
        <v>8.6666666666666661</v>
      </c>
      <c r="R179" t="s">
        <v>804</v>
      </c>
      <c r="S179">
        <v>4</v>
      </c>
      <c r="T179">
        <v>2</v>
      </c>
      <c r="U179">
        <v>1</v>
      </c>
      <c r="V179">
        <v>1</v>
      </c>
      <c r="W179">
        <v>1</v>
      </c>
      <c r="X179">
        <v>1</v>
      </c>
      <c r="Z179">
        <f>S179-T179-U179-V179-W179-X179-Y179</f>
        <v>-2</v>
      </c>
      <c r="BL179" t="s">
        <v>670</v>
      </c>
      <c r="BM179" t="s">
        <v>1415</v>
      </c>
      <c r="BN179" t="s">
        <v>1410</v>
      </c>
      <c r="BO179" t="s">
        <v>1418</v>
      </c>
      <c r="BQ179" t="s">
        <v>1420</v>
      </c>
    </row>
    <row r="180" spans="2:69" x14ac:dyDescent="0.25">
      <c r="B180" t="s">
        <v>2093</v>
      </c>
      <c r="D180" t="s">
        <v>1066</v>
      </c>
      <c r="R180" t="s">
        <v>800</v>
      </c>
      <c r="S180">
        <v>6</v>
      </c>
      <c r="T180">
        <v>2</v>
      </c>
      <c r="U180">
        <v>1</v>
      </c>
      <c r="V180">
        <v>1</v>
      </c>
      <c r="W180">
        <v>1</v>
      </c>
      <c r="X180">
        <v>0</v>
      </c>
      <c r="Z180">
        <f>S180-T180-U180-V180-W180-X180-Y180</f>
        <v>1</v>
      </c>
      <c r="BL180" t="s">
        <v>672</v>
      </c>
      <c r="BM180" t="s">
        <v>1416</v>
      </c>
      <c r="BN180" t="s">
        <v>1410</v>
      </c>
      <c r="BO180" t="s">
        <v>1412</v>
      </c>
      <c r="BP180" t="s">
        <v>1324</v>
      </c>
    </row>
    <row r="181" spans="2:69" x14ac:dyDescent="0.25">
      <c r="B181" t="s">
        <v>2093</v>
      </c>
      <c r="D181" t="s">
        <v>1067</v>
      </c>
      <c r="BL181" t="s">
        <v>669</v>
      </c>
      <c r="BM181" t="s">
        <v>1414</v>
      </c>
      <c r="BN181" t="s">
        <v>1410</v>
      </c>
      <c r="BO181" t="s">
        <v>1417</v>
      </c>
      <c r="BP181" t="s">
        <v>1411</v>
      </c>
      <c r="BQ181" t="s">
        <v>1429</v>
      </c>
    </row>
    <row r="182" spans="2:69" x14ac:dyDescent="0.25">
      <c r="B182" t="s">
        <v>2093</v>
      </c>
      <c r="C182">
        <v>1</v>
      </c>
      <c r="D182" t="s">
        <v>1068</v>
      </c>
      <c r="O182">
        <f>1-6-2-3</f>
        <v>-10</v>
      </c>
      <c r="BL182" t="s">
        <v>671</v>
      </c>
      <c r="BM182" t="s">
        <v>1416</v>
      </c>
      <c r="BN182" t="s">
        <v>1410</v>
      </c>
      <c r="BO182" t="s">
        <v>1412</v>
      </c>
      <c r="BP182" t="s">
        <v>1324</v>
      </c>
    </row>
    <row r="183" spans="2:69" x14ac:dyDescent="0.25">
      <c r="B183" t="s">
        <v>2093</v>
      </c>
      <c r="C183">
        <v>1</v>
      </c>
      <c r="D183" t="s">
        <v>1069</v>
      </c>
      <c r="L183">
        <v>20</v>
      </c>
      <c r="M183" t="s">
        <v>1285</v>
      </c>
      <c r="BL183" t="s">
        <v>673</v>
      </c>
      <c r="BM183" t="s">
        <v>1413</v>
      </c>
      <c r="BN183" t="s">
        <v>1410</v>
      </c>
    </row>
    <row r="184" spans="2:69" x14ac:dyDescent="0.25">
      <c r="B184" t="s">
        <v>2093</v>
      </c>
      <c r="C184">
        <v>1</v>
      </c>
      <c r="D184" t="s">
        <v>1070</v>
      </c>
      <c r="F184">
        <v>100</v>
      </c>
      <c r="L184">
        <v>50</v>
      </c>
      <c r="M184" t="s">
        <v>1211</v>
      </c>
      <c r="R184">
        <v>0</v>
      </c>
      <c r="T184" t="s">
        <v>812</v>
      </c>
      <c r="U184">
        <v>1</v>
      </c>
      <c r="Z184" t="s">
        <v>812</v>
      </c>
      <c r="AA184">
        <v>1</v>
      </c>
      <c r="AB184">
        <v>2</v>
      </c>
      <c r="BL184" t="s">
        <v>668</v>
      </c>
      <c r="BM184" t="s">
        <v>1413</v>
      </c>
      <c r="BN184" t="s">
        <v>1410</v>
      </c>
      <c r="BO184" t="s">
        <v>1419</v>
      </c>
      <c r="BP184" t="s">
        <v>1324</v>
      </c>
    </row>
    <row r="185" spans="2:69" x14ac:dyDescent="0.25">
      <c r="B185" t="s">
        <v>2093</v>
      </c>
      <c r="C185">
        <v>1</v>
      </c>
      <c r="D185" t="s">
        <v>1071</v>
      </c>
      <c r="F185">
        <f>F184*1.6</f>
        <v>160</v>
      </c>
      <c r="I185">
        <v>10</v>
      </c>
      <c r="J185" t="s">
        <v>1201</v>
      </c>
      <c r="L185">
        <v>10</v>
      </c>
      <c r="M185" t="s">
        <v>1197</v>
      </c>
      <c r="P185">
        <v>1</v>
      </c>
      <c r="Q185">
        <f>2*1</f>
        <v>2</v>
      </c>
      <c r="R185">
        <v>1</v>
      </c>
      <c r="U185">
        <v>2</v>
      </c>
      <c r="AA185">
        <v>2</v>
      </c>
      <c r="AB185">
        <v>2</v>
      </c>
    </row>
    <row r="186" spans="2:69" x14ac:dyDescent="0.25">
      <c r="B186" t="s">
        <v>2093</v>
      </c>
      <c r="D186" t="s">
        <v>1072</v>
      </c>
      <c r="I186">
        <v>20</v>
      </c>
      <c r="J186" t="s">
        <v>1202</v>
      </c>
      <c r="L186">
        <v>20</v>
      </c>
      <c r="M186" t="s">
        <v>1186</v>
      </c>
      <c r="P186">
        <v>2</v>
      </c>
      <c r="Q186">
        <f>10*4/6</f>
        <v>6.666666666666667</v>
      </c>
      <c r="R186">
        <v>2</v>
      </c>
      <c r="U186">
        <v>3</v>
      </c>
      <c r="V186">
        <v>1</v>
      </c>
      <c r="X186">
        <f>V186</f>
        <v>1</v>
      </c>
      <c r="AA186">
        <v>3</v>
      </c>
      <c r="AB186">
        <v>1</v>
      </c>
      <c r="AD186">
        <f>AB186</f>
        <v>1</v>
      </c>
    </row>
    <row r="187" spans="2:69" x14ac:dyDescent="0.25">
      <c r="B187" t="s">
        <v>2093</v>
      </c>
      <c r="C187">
        <v>1</v>
      </c>
      <c r="D187" t="s">
        <v>1073</v>
      </c>
      <c r="I187">
        <v>50</v>
      </c>
      <c r="J187" t="s">
        <v>1203</v>
      </c>
      <c r="L187">
        <v>20</v>
      </c>
      <c r="M187" t="s">
        <v>1286</v>
      </c>
      <c r="P187">
        <v>3</v>
      </c>
      <c r="R187">
        <v>3</v>
      </c>
      <c r="U187">
        <v>4</v>
      </c>
      <c r="X187">
        <f t="shared" ref="X187:X201" si="38">X186+V187</f>
        <v>1</v>
      </c>
      <c r="AA187">
        <v>4</v>
      </c>
      <c r="AB187">
        <v>2</v>
      </c>
      <c r="AD187">
        <f t="shared" ref="AD187:AD201" si="39">AD186+AB187</f>
        <v>3</v>
      </c>
    </row>
    <row r="188" spans="2:69" x14ac:dyDescent="0.25">
      <c r="D188" t="s">
        <v>1076</v>
      </c>
      <c r="I188">
        <v>20</v>
      </c>
      <c r="J188" t="s">
        <v>1011</v>
      </c>
      <c r="L188">
        <v>10</v>
      </c>
      <c r="M188" t="s">
        <v>1016</v>
      </c>
      <c r="U188">
        <v>5</v>
      </c>
      <c r="X188">
        <f t="shared" si="38"/>
        <v>1</v>
      </c>
      <c r="AA188">
        <v>5</v>
      </c>
      <c r="AB188">
        <v>1</v>
      </c>
      <c r="AD188">
        <f t="shared" si="39"/>
        <v>4</v>
      </c>
    </row>
    <row r="189" spans="2:69" x14ac:dyDescent="0.25">
      <c r="D189" t="s">
        <v>1077</v>
      </c>
      <c r="I189">
        <v>40</v>
      </c>
      <c r="J189" t="s">
        <v>1204</v>
      </c>
      <c r="L189">
        <v>50</v>
      </c>
      <c r="M189" t="s">
        <v>1198</v>
      </c>
      <c r="O189">
        <f>25+25+40</f>
        <v>90</v>
      </c>
      <c r="U189">
        <v>6</v>
      </c>
      <c r="V189">
        <v>1</v>
      </c>
      <c r="X189">
        <f t="shared" si="38"/>
        <v>2</v>
      </c>
      <c r="AA189">
        <v>6</v>
      </c>
      <c r="AB189">
        <v>2</v>
      </c>
      <c r="AC189">
        <f>SUM(AB184:AB189)</f>
        <v>10</v>
      </c>
      <c r="AD189">
        <f t="shared" si="39"/>
        <v>6</v>
      </c>
    </row>
    <row r="190" spans="2:69" x14ac:dyDescent="0.25">
      <c r="I190">
        <v>20</v>
      </c>
      <c r="J190" t="s">
        <v>972</v>
      </c>
      <c r="L190">
        <v>50</v>
      </c>
      <c r="M190" t="s">
        <v>1199</v>
      </c>
      <c r="O190">
        <f>20+10+10+50</f>
        <v>90</v>
      </c>
      <c r="T190" t="s">
        <v>812</v>
      </c>
      <c r="U190">
        <v>7</v>
      </c>
      <c r="X190">
        <f t="shared" si="38"/>
        <v>2</v>
      </c>
      <c r="Z190" t="s">
        <v>812</v>
      </c>
      <c r="AA190">
        <v>7</v>
      </c>
      <c r="AB190">
        <v>4</v>
      </c>
      <c r="AD190">
        <f t="shared" si="39"/>
        <v>10</v>
      </c>
    </row>
    <row r="191" spans="2:69" x14ac:dyDescent="0.25">
      <c r="I191">
        <v>10</v>
      </c>
      <c r="J191" t="s">
        <v>1205</v>
      </c>
      <c r="L191">
        <v>40</v>
      </c>
      <c r="M191" t="s">
        <v>1200</v>
      </c>
      <c r="U191">
        <v>8</v>
      </c>
      <c r="X191">
        <f t="shared" si="38"/>
        <v>2</v>
      </c>
      <c r="AA191">
        <v>8</v>
      </c>
      <c r="AB191">
        <v>4</v>
      </c>
      <c r="AD191">
        <f t="shared" si="39"/>
        <v>14</v>
      </c>
    </row>
    <row r="192" spans="2:69" x14ac:dyDescent="0.25">
      <c r="Q192">
        <f>27*5</f>
        <v>135</v>
      </c>
      <c r="U192">
        <v>9</v>
      </c>
      <c r="V192">
        <v>2</v>
      </c>
      <c r="X192">
        <f t="shared" si="38"/>
        <v>4</v>
      </c>
      <c r="AA192">
        <v>9</v>
      </c>
      <c r="AB192">
        <v>2</v>
      </c>
      <c r="AD192">
        <f t="shared" si="39"/>
        <v>16</v>
      </c>
    </row>
    <row r="193" spans="2:30" x14ac:dyDescent="0.25">
      <c r="D193" t="s">
        <v>1053</v>
      </c>
      <c r="I193">
        <f>I185+I186+I187+I190</f>
        <v>100</v>
      </c>
      <c r="J193" t="s">
        <v>1213</v>
      </c>
      <c r="L193">
        <f>L185+L188+L190</f>
        <v>70</v>
      </c>
      <c r="M193" t="s">
        <v>1213</v>
      </c>
      <c r="N193">
        <f t="shared" ref="N193:N199" si="40">I193+L193</f>
        <v>170</v>
      </c>
      <c r="Q193">
        <f>Q192/5</f>
        <v>27</v>
      </c>
      <c r="R193">
        <f>145-(8*15)</f>
        <v>25</v>
      </c>
      <c r="U193">
        <v>10</v>
      </c>
      <c r="X193">
        <f t="shared" si="38"/>
        <v>4</v>
      </c>
      <c r="AA193">
        <v>10</v>
      </c>
      <c r="AB193">
        <v>4</v>
      </c>
      <c r="AD193">
        <f t="shared" si="39"/>
        <v>20</v>
      </c>
    </row>
    <row r="194" spans="2:30" x14ac:dyDescent="0.25">
      <c r="D194" t="s">
        <v>733</v>
      </c>
      <c r="I194">
        <f>I185+I186+I187+I191</f>
        <v>90</v>
      </c>
      <c r="J194" t="s">
        <v>1214</v>
      </c>
      <c r="L194">
        <f>L186+L190+L185</f>
        <v>80</v>
      </c>
      <c r="M194" t="s">
        <v>1214</v>
      </c>
      <c r="N194">
        <f t="shared" si="40"/>
        <v>170</v>
      </c>
      <c r="O194">
        <f>16-3-3</f>
        <v>10</v>
      </c>
      <c r="R194">
        <f>6*25+R193</f>
        <v>175</v>
      </c>
      <c r="U194">
        <v>11</v>
      </c>
      <c r="X194">
        <f t="shared" si="38"/>
        <v>4</v>
      </c>
      <c r="AA194">
        <v>11</v>
      </c>
      <c r="AB194">
        <v>2</v>
      </c>
      <c r="AD194">
        <f t="shared" si="39"/>
        <v>22</v>
      </c>
    </row>
    <row r="195" spans="2:30" x14ac:dyDescent="0.25">
      <c r="D195" t="s">
        <v>1060</v>
      </c>
      <c r="I195">
        <f>I185+I186+I187+I191</f>
        <v>90</v>
      </c>
      <c r="J195" t="s">
        <v>1206</v>
      </c>
      <c r="L195">
        <f>L185+L186+L190</f>
        <v>80</v>
      </c>
      <c r="M195" t="s">
        <v>1206</v>
      </c>
      <c r="N195">
        <f t="shared" si="40"/>
        <v>170</v>
      </c>
      <c r="O195">
        <f>O194-4</f>
        <v>6</v>
      </c>
      <c r="U195">
        <v>12</v>
      </c>
      <c r="V195">
        <v>2</v>
      </c>
      <c r="X195">
        <f t="shared" si="38"/>
        <v>6</v>
      </c>
      <c r="AA195">
        <v>12</v>
      </c>
      <c r="AB195">
        <v>4</v>
      </c>
      <c r="AC195">
        <f>AB190+AB191+AB192+AB193+AB194+AB195</f>
        <v>20</v>
      </c>
      <c r="AD195">
        <f t="shared" si="39"/>
        <v>26</v>
      </c>
    </row>
    <row r="196" spans="2:30" x14ac:dyDescent="0.25">
      <c r="D196" t="s">
        <v>1058</v>
      </c>
      <c r="I196">
        <f>I185+I186+I187+I190</f>
        <v>100</v>
      </c>
      <c r="J196" t="s">
        <v>1207</v>
      </c>
      <c r="L196">
        <f>L185+L188+L190</f>
        <v>70</v>
      </c>
      <c r="M196" t="s">
        <v>1207</v>
      </c>
      <c r="N196">
        <f t="shared" si="40"/>
        <v>170</v>
      </c>
      <c r="T196" t="s">
        <v>813</v>
      </c>
      <c r="U196">
        <v>13</v>
      </c>
      <c r="V196">
        <v>1</v>
      </c>
      <c r="W196">
        <f>V186*-1</f>
        <v>-1</v>
      </c>
      <c r="X196">
        <f t="shared" si="38"/>
        <v>7</v>
      </c>
      <c r="Z196" t="s">
        <v>813</v>
      </c>
      <c r="AA196">
        <v>13</v>
      </c>
      <c r="AB196">
        <v>1</v>
      </c>
      <c r="AC196">
        <f>AB186*-1</f>
        <v>-1</v>
      </c>
      <c r="AD196">
        <f t="shared" si="39"/>
        <v>27</v>
      </c>
    </row>
    <row r="197" spans="2:30" x14ac:dyDescent="0.25">
      <c r="D197" t="s">
        <v>1056</v>
      </c>
      <c r="I197">
        <f>I185+I186+I187</f>
        <v>80</v>
      </c>
      <c r="J197" t="s">
        <v>1209</v>
      </c>
      <c r="L197">
        <f>L190+L185</f>
        <v>60</v>
      </c>
      <c r="M197" t="s">
        <v>1209</v>
      </c>
      <c r="N197">
        <f t="shared" si="40"/>
        <v>140</v>
      </c>
      <c r="U197">
        <v>14</v>
      </c>
      <c r="V197">
        <v>1</v>
      </c>
      <c r="X197">
        <f t="shared" si="38"/>
        <v>8</v>
      </c>
      <c r="AA197">
        <v>14</v>
      </c>
      <c r="AB197">
        <v>1</v>
      </c>
      <c r="AD197">
        <f t="shared" si="39"/>
        <v>28</v>
      </c>
    </row>
    <row r="198" spans="2:30" x14ac:dyDescent="0.25">
      <c r="B198">
        <f>6*5.5</f>
        <v>33</v>
      </c>
      <c r="D198" t="s">
        <v>1057</v>
      </c>
      <c r="I198">
        <f>I185+I186+I187+I191</f>
        <v>90</v>
      </c>
      <c r="J198" t="s">
        <v>1208</v>
      </c>
      <c r="L198">
        <f>L185+L186+L191</f>
        <v>70</v>
      </c>
      <c r="M198" t="s">
        <v>1208</v>
      </c>
      <c r="N198">
        <f t="shared" si="40"/>
        <v>160</v>
      </c>
      <c r="O198">
        <v>18</v>
      </c>
      <c r="P198">
        <v>19</v>
      </c>
      <c r="Q198">
        <v>11</v>
      </c>
      <c r="R198">
        <v>12</v>
      </c>
      <c r="S198">
        <v>18</v>
      </c>
      <c r="T198">
        <v>19</v>
      </c>
      <c r="U198">
        <v>15</v>
      </c>
      <c r="V198">
        <v>1</v>
      </c>
      <c r="X198">
        <f t="shared" si="38"/>
        <v>9</v>
      </c>
      <c r="AA198">
        <v>15</v>
      </c>
      <c r="AB198">
        <v>1</v>
      </c>
      <c r="AD198">
        <f t="shared" si="39"/>
        <v>29</v>
      </c>
    </row>
    <row r="199" spans="2:30" x14ac:dyDescent="0.25">
      <c r="D199" t="s">
        <v>866</v>
      </c>
      <c r="I199">
        <f>I185+I186+I190</f>
        <v>50</v>
      </c>
      <c r="J199" t="s">
        <v>1210</v>
      </c>
      <c r="L199">
        <f>L184+L185+L186+L188</f>
        <v>90</v>
      </c>
      <c r="M199" t="s">
        <v>1210</v>
      </c>
      <c r="N199">
        <f t="shared" si="40"/>
        <v>140</v>
      </c>
      <c r="O199">
        <v>18</v>
      </c>
      <c r="P199">
        <v>19</v>
      </c>
      <c r="Q199">
        <v>18</v>
      </c>
      <c r="R199">
        <v>19</v>
      </c>
      <c r="S199">
        <v>18</v>
      </c>
      <c r="T199">
        <v>19</v>
      </c>
      <c r="U199">
        <v>16</v>
      </c>
      <c r="V199">
        <v>1</v>
      </c>
      <c r="W199">
        <f>V189*-1</f>
        <v>-1</v>
      </c>
      <c r="X199">
        <f t="shared" si="38"/>
        <v>10</v>
      </c>
      <c r="AA199">
        <v>16</v>
      </c>
      <c r="AB199">
        <v>1</v>
      </c>
      <c r="AC199">
        <f>AB189*-1</f>
        <v>-2</v>
      </c>
      <c r="AD199">
        <f t="shared" si="39"/>
        <v>30</v>
      </c>
    </row>
    <row r="200" spans="2:30" x14ac:dyDescent="0.25">
      <c r="D200" t="s">
        <v>662</v>
      </c>
      <c r="I200">
        <f>I185+I190</f>
        <v>30</v>
      </c>
      <c r="J200" t="s">
        <v>1212</v>
      </c>
      <c r="L200">
        <f>L184+L185+L187+L188</f>
        <v>90</v>
      </c>
      <c r="M200" t="s">
        <v>1212</v>
      </c>
      <c r="O200">
        <v>15</v>
      </c>
      <c r="P200">
        <v>16</v>
      </c>
      <c r="Q200">
        <v>15</v>
      </c>
      <c r="R200">
        <v>16</v>
      </c>
      <c r="S200">
        <v>15</v>
      </c>
      <c r="T200">
        <v>16</v>
      </c>
      <c r="U200">
        <v>17</v>
      </c>
      <c r="V200">
        <v>2</v>
      </c>
      <c r="X200">
        <f t="shared" si="38"/>
        <v>12</v>
      </c>
      <c r="AA200">
        <v>17</v>
      </c>
      <c r="AB200">
        <v>1</v>
      </c>
      <c r="AD200">
        <f t="shared" si="39"/>
        <v>31</v>
      </c>
    </row>
    <row r="201" spans="2:30" x14ac:dyDescent="0.25">
      <c r="D201" t="s">
        <v>1061</v>
      </c>
      <c r="I201">
        <f>I185+I186+I190+I191</f>
        <v>60</v>
      </c>
      <c r="J201" t="s">
        <v>1282</v>
      </c>
      <c r="L201">
        <f>L185+L186+L188</f>
        <v>40</v>
      </c>
      <c r="M201" t="s">
        <v>1282</v>
      </c>
      <c r="O201">
        <v>13</v>
      </c>
      <c r="P201">
        <v>14</v>
      </c>
      <c r="Q201">
        <v>13</v>
      </c>
      <c r="R201">
        <v>14</v>
      </c>
      <c r="S201">
        <v>18</v>
      </c>
      <c r="T201">
        <v>19</v>
      </c>
      <c r="U201">
        <v>18</v>
      </c>
      <c r="X201">
        <f t="shared" si="38"/>
        <v>12</v>
      </c>
      <c r="AA201">
        <v>18</v>
      </c>
      <c r="AB201">
        <v>5</v>
      </c>
      <c r="AD201">
        <f t="shared" si="39"/>
        <v>36</v>
      </c>
    </row>
    <row r="202" spans="2:30" x14ac:dyDescent="0.25">
      <c r="D202" t="s">
        <v>1062</v>
      </c>
      <c r="I202">
        <f>I185+I189+I190+I189</f>
        <v>110</v>
      </c>
      <c r="J202" t="s">
        <v>1283</v>
      </c>
      <c r="L202">
        <f>L191+L188+L185</f>
        <v>60</v>
      </c>
      <c r="M202" t="s">
        <v>1283</v>
      </c>
      <c r="O202">
        <v>10</v>
      </c>
      <c r="P202">
        <v>13</v>
      </c>
      <c r="Q202">
        <v>18</v>
      </c>
      <c r="R202">
        <v>21</v>
      </c>
      <c r="S202">
        <v>7</v>
      </c>
      <c r="T202">
        <v>10</v>
      </c>
    </row>
    <row r="203" spans="2:30" x14ac:dyDescent="0.25">
      <c r="D203" t="s">
        <v>1074</v>
      </c>
      <c r="L203">
        <f>L183+L185+L187+L191</f>
        <v>90</v>
      </c>
      <c r="M203" t="s">
        <v>1284</v>
      </c>
      <c r="N203">
        <f>(20-1)/20+0.05</f>
        <v>1</v>
      </c>
      <c r="O203">
        <v>16</v>
      </c>
      <c r="P203">
        <v>17</v>
      </c>
      <c r="Q203">
        <v>15</v>
      </c>
      <c r="R203">
        <v>16</v>
      </c>
      <c r="S203">
        <v>13</v>
      </c>
      <c r="T203">
        <v>14</v>
      </c>
      <c r="V203">
        <v>5</v>
      </c>
      <c r="W203">
        <v>165</v>
      </c>
      <c r="X203">
        <v>7</v>
      </c>
    </row>
    <row r="204" spans="2:30" x14ac:dyDescent="0.25">
      <c r="D204" t="s">
        <v>1065</v>
      </c>
      <c r="H204">
        <f>1-4-2-2</f>
        <v>-7</v>
      </c>
      <c r="I204">
        <f>I189+I185+I186+30</f>
        <v>100</v>
      </c>
      <c r="L204">
        <f>L184+25+L191</f>
        <v>115</v>
      </c>
      <c r="N204">
        <f>1/N203</f>
        <v>1</v>
      </c>
      <c r="O204">
        <f t="shared" ref="O204:T204" si="41">SUM(O198:O203)</f>
        <v>90</v>
      </c>
      <c r="P204">
        <f t="shared" si="41"/>
        <v>98</v>
      </c>
      <c r="Q204">
        <f t="shared" si="41"/>
        <v>90</v>
      </c>
      <c r="R204">
        <f t="shared" si="41"/>
        <v>98</v>
      </c>
      <c r="S204">
        <f t="shared" si="41"/>
        <v>89</v>
      </c>
      <c r="T204">
        <f t="shared" si="41"/>
        <v>97</v>
      </c>
      <c r="X204">
        <v>6</v>
      </c>
      <c r="AA204">
        <f>4/6*20+2/6*10</f>
        <v>16.666666666666664</v>
      </c>
    </row>
    <row r="205" spans="2:30" x14ac:dyDescent="0.25">
      <c r="D205" t="s">
        <v>1068</v>
      </c>
      <c r="P205" t="s">
        <v>1226</v>
      </c>
      <c r="R205" t="s">
        <v>1227</v>
      </c>
      <c r="T205" t="s">
        <v>1227</v>
      </c>
      <c r="X205">
        <v>5</v>
      </c>
    </row>
    <row r="206" spans="2:30" x14ac:dyDescent="0.25">
      <c r="D206" t="s">
        <v>1069</v>
      </c>
      <c r="F206" t="s">
        <v>1287</v>
      </c>
      <c r="G206" t="s">
        <v>1282</v>
      </c>
      <c r="H206" t="s">
        <v>1294</v>
      </c>
      <c r="I206" t="s">
        <v>1300</v>
      </c>
      <c r="J206" t="s">
        <v>1302</v>
      </c>
      <c r="K206" t="s">
        <v>1284</v>
      </c>
      <c r="L206" t="s">
        <v>549</v>
      </c>
      <c r="S206">
        <v>14</v>
      </c>
      <c r="T206">
        <v>15</v>
      </c>
      <c r="U206">
        <v>9</v>
      </c>
      <c r="V206">
        <v>10</v>
      </c>
      <c r="X206">
        <v>75</v>
      </c>
    </row>
    <row r="207" spans="2:30" x14ac:dyDescent="0.25">
      <c r="D207" t="s">
        <v>1070</v>
      </c>
      <c r="F207" t="s">
        <v>1284</v>
      </c>
      <c r="G207" t="s">
        <v>1214</v>
      </c>
      <c r="H207" t="s">
        <v>1295</v>
      </c>
      <c r="I207" t="s">
        <v>1287</v>
      </c>
      <c r="J207" t="s">
        <v>1301</v>
      </c>
      <c r="K207" t="s">
        <v>579</v>
      </c>
      <c r="L207" t="s">
        <v>552</v>
      </c>
      <c r="S207">
        <v>9</v>
      </c>
      <c r="T207">
        <v>10</v>
      </c>
      <c r="U207">
        <v>7</v>
      </c>
      <c r="V207">
        <v>9</v>
      </c>
      <c r="X207">
        <v>115</v>
      </c>
    </row>
    <row r="208" spans="2:30" x14ac:dyDescent="0.25">
      <c r="D208" t="s">
        <v>1071</v>
      </c>
      <c r="F208" t="s">
        <v>101</v>
      </c>
      <c r="G208" t="s">
        <v>1290</v>
      </c>
      <c r="H208" t="s">
        <v>1296</v>
      </c>
      <c r="I208" t="s">
        <v>1291</v>
      </c>
      <c r="J208" t="s">
        <v>1305</v>
      </c>
      <c r="K208" t="s">
        <v>100</v>
      </c>
      <c r="L208" t="s">
        <v>1238</v>
      </c>
      <c r="N208">
        <f>(20-13)/20</f>
        <v>0.35</v>
      </c>
      <c r="S208">
        <v>9</v>
      </c>
      <c r="T208">
        <v>10</v>
      </c>
      <c r="U208">
        <v>15</v>
      </c>
      <c r="V208">
        <v>16</v>
      </c>
      <c r="X208">
        <v>240</v>
      </c>
      <c r="Z208">
        <f>1.5+(3.5+7+6)</f>
        <v>18</v>
      </c>
    </row>
    <row r="209" spans="2:26" x14ac:dyDescent="0.25">
      <c r="D209" t="s">
        <v>1073</v>
      </c>
      <c r="F209" t="s">
        <v>1288</v>
      </c>
      <c r="G209" t="s">
        <v>1293</v>
      </c>
      <c r="H209" t="s">
        <v>1297</v>
      </c>
      <c r="I209" t="s">
        <v>1295</v>
      </c>
      <c r="J209" t="s">
        <v>1213</v>
      </c>
      <c r="K209" t="s">
        <v>1306</v>
      </c>
      <c r="L209" t="s">
        <v>1293</v>
      </c>
      <c r="P209">
        <f>5.5</f>
        <v>5.5</v>
      </c>
      <c r="S209">
        <v>9</v>
      </c>
      <c r="T209">
        <v>10</v>
      </c>
      <c r="U209">
        <v>10</v>
      </c>
      <c r="V209">
        <v>11</v>
      </c>
      <c r="X209">
        <f>155-205</f>
        <v>-50</v>
      </c>
      <c r="Z209">
        <f>Z208*20</f>
        <v>360</v>
      </c>
    </row>
    <row r="210" spans="2:26" x14ac:dyDescent="0.25">
      <c r="D210" t="s">
        <v>1196</v>
      </c>
      <c r="F210" t="s">
        <v>1289</v>
      </c>
      <c r="G210" t="s">
        <v>1291</v>
      </c>
      <c r="H210" t="s">
        <v>1298</v>
      </c>
      <c r="J210" t="s">
        <v>1304</v>
      </c>
      <c r="K210" t="s">
        <v>1288</v>
      </c>
      <c r="L210" t="s">
        <v>1307</v>
      </c>
      <c r="N210">
        <f>3.5+9+2</f>
        <v>14.5</v>
      </c>
      <c r="O210">
        <f>3.5+5+2</f>
        <v>10.5</v>
      </c>
      <c r="P210">
        <f>P209*4+7</f>
        <v>29</v>
      </c>
      <c r="S210">
        <v>9</v>
      </c>
      <c r="T210">
        <v>12</v>
      </c>
      <c r="U210">
        <v>10</v>
      </c>
      <c r="V210">
        <v>13</v>
      </c>
    </row>
    <row r="211" spans="2:26" x14ac:dyDescent="0.25">
      <c r="F211" t="s">
        <v>580</v>
      </c>
      <c r="G211" t="s">
        <v>1292</v>
      </c>
      <c r="H211" t="s">
        <v>1299</v>
      </c>
      <c r="J211" t="s">
        <v>1303</v>
      </c>
      <c r="K211" t="s">
        <v>1292</v>
      </c>
      <c r="N211">
        <f>N210*5+7</f>
        <v>79.5</v>
      </c>
      <c r="O211">
        <f>O210*5+7</f>
        <v>59.5</v>
      </c>
      <c r="S211">
        <v>9</v>
      </c>
      <c r="T211">
        <v>10</v>
      </c>
      <c r="U211">
        <v>8</v>
      </c>
      <c r="V211">
        <v>9</v>
      </c>
      <c r="X211">
        <f>20*6</f>
        <v>120</v>
      </c>
    </row>
    <row r="212" spans="2:26" x14ac:dyDescent="0.25">
      <c r="S212">
        <f>SUM(S206:S211)</f>
        <v>59</v>
      </c>
      <c r="T212">
        <f>SUM(T206:T211)</f>
        <v>67</v>
      </c>
      <c r="U212">
        <f>SUM(U206:U211)</f>
        <v>59</v>
      </c>
      <c r="V212">
        <f>SUM(V206:V211)</f>
        <v>68</v>
      </c>
      <c r="X212">
        <f>X211*0.25</f>
        <v>30</v>
      </c>
    </row>
    <row r="213" spans="2:26" x14ac:dyDescent="0.25">
      <c r="T213" t="s">
        <v>1227</v>
      </c>
      <c r="V213" t="s">
        <v>1227</v>
      </c>
    </row>
    <row r="214" spans="2:26" x14ac:dyDescent="0.25">
      <c r="B214" t="s">
        <v>212</v>
      </c>
      <c r="C214">
        <v>1</v>
      </c>
    </row>
    <row r="215" spans="2:26" x14ac:dyDescent="0.25">
      <c r="B215" t="s">
        <v>634</v>
      </c>
      <c r="C215">
        <v>4</v>
      </c>
      <c r="M215">
        <v>1</v>
      </c>
      <c r="N215">
        <f>(1+1+1)*2*2</f>
        <v>12</v>
      </c>
      <c r="O215">
        <f>M215*N215</f>
        <v>12</v>
      </c>
    </row>
    <row r="216" spans="2:26" x14ac:dyDescent="0.25">
      <c r="B216" t="s">
        <v>830</v>
      </c>
      <c r="C216">
        <v>5</v>
      </c>
      <c r="D216" t="s">
        <v>1467</v>
      </c>
      <c r="E216">
        <v>30</v>
      </c>
      <c r="M216">
        <f>5/6</f>
        <v>0.83333333333333337</v>
      </c>
      <c r="N216">
        <f>(1+1+1)*2*2</f>
        <v>12</v>
      </c>
      <c r="O216">
        <f>M216*N216</f>
        <v>10</v>
      </c>
    </row>
    <row r="217" spans="2:26" x14ac:dyDescent="0.25">
      <c r="B217" t="s">
        <v>1225</v>
      </c>
      <c r="C217">
        <v>1</v>
      </c>
      <c r="D217" t="s">
        <v>1146</v>
      </c>
      <c r="E217">
        <v>10</v>
      </c>
    </row>
    <row r="218" spans="2:26" x14ac:dyDescent="0.25">
      <c r="B218" t="s">
        <v>637</v>
      </c>
      <c r="C218">
        <v>4</v>
      </c>
      <c r="D218" t="s">
        <v>1466</v>
      </c>
      <c r="E218">
        <v>5</v>
      </c>
      <c r="H218" t="s">
        <v>785</v>
      </c>
      <c r="J218" t="s">
        <v>784</v>
      </c>
      <c r="L218" t="s">
        <v>498</v>
      </c>
    </row>
    <row r="219" spans="2:26" x14ac:dyDescent="0.25">
      <c r="B219" t="s">
        <v>1465</v>
      </c>
      <c r="C219">
        <v>3</v>
      </c>
      <c r="D219" t="s">
        <v>1464</v>
      </c>
      <c r="E219">
        <v>5</v>
      </c>
      <c r="G219" t="s">
        <v>783</v>
      </c>
      <c r="H219">
        <v>1</v>
      </c>
      <c r="J219">
        <v>1</v>
      </c>
      <c r="L219">
        <v>1</v>
      </c>
      <c r="O219">
        <v>1</v>
      </c>
      <c r="Q219">
        <v>2</v>
      </c>
    </row>
    <row r="220" spans="2:26" x14ac:dyDescent="0.25">
      <c r="B220" t="s">
        <v>1463</v>
      </c>
      <c r="C220">
        <v>3</v>
      </c>
      <c r="D220" t="s">
        <v>1462</v>
      </c>
      <c r="E220">
        <v>10</v>
      </c>
      <c r="H220">
        <v>2</v>
      </c>
      <c r="J220">
        <v>1</v>
      </c>
      <c r="L220">
        <f t="shared" ref="L220:L242" si="42">J220+L219</f>
        <v>2</v>
      </c>
      <c r="O220">
        <v>1</v>
      </c>
      <c r="Q220">
        <v>2</v>
      </c>
      <c r="T220">
        <v>1</v>
      </c>
      <c r="U220">
        <f t="shared" ref="U220:U225" si="43">T220/2</f>
        <v>0.5</v>
      </c>
      <c r="V220">
        <f t="shared" ref="V220:V225" si="44">U220</f>
        <v>0.5</v>
      </c>
    </row>
    <row r="221" spans="2:26" x14ac:dyDescent="0.25">
      <c r="B221" t="s">
        <v>647</v>
      </c>
      <c r="C221">
        <v>2</v>
      </c>
      <c r="D221" t="s">
        <v>1461</v>
      </c>
      <c r="E221">
        <v>20</v>
      </c>
      <c r="H221">
        <v>3</v>
      </c>
      <c r="J221">
        <v>1</v>
      </c>
      <c r="L221">
        <f t="shared" si="42"/>
        <v>3</v>
      </c>
      <c r="O221">
        <v>1</v>
      </c>
      <c r="Q221">
        <v>2</v>
      </c>
      <c r="T221">
        <v>1</v>
      </c>
      <c r="U221">
        <f t="shared" si="43"/>
        <v>0.5</v>
      </c>
      <c r="V221">
        <f t="shared" si="44"/>
        <v>0.5</v>
      </c>
    </row>
    <row r="222" spans="2:26" x14ac:dyDescent="0.25">
      <c r="B222" t="s">
        <v>682</v>
      </c>
      <c r="C222">
        <v>3</v>
      </c>
      <c r="H222">
        <v>4</v>
      </c>
      <c r="J222">
        <v>1</v>
      </c>
      <c r="L222">
        <f t="shared" si="42"/>
        <v>4</v>
      </c>
      <c r="O222">
        <v>1</v>
      </c>
      <c r="Q222">
        <v>2</v>
      </c>
      <c r="T222">
        <v>1</v>
      </c>
      <c r="U222">
        <f t="shared" si="43"/>
        <v>0.5</v>
      </c>
      <c r="V222">
        <f t="shared" si="44"/>
        <v>0.5</v>
      </c>
    </row>
    <row r="223" spans="2:26" x14ac:dyDescent="0.25">
      <c r="H223">
        <v>5</v>
      </c>
      <c r="J223">
        <v>1</v>
      </c>
      <c r="L223">
        <f t="shared" si="42"/>
        <v>5</v>
      </c>
      <c r="O223">
        <v>1</v>
      </c>
      <c r="Q223">
        <v>2</v>
      </c>
      <c r="T223">
        <v>1</v>
      </c>
      <c r="U223">
        <f t="shared" si="43"/>
        <v>0.5</v>
      </c>
      <c r="V223">
        <f t="shared" si="44"/>
        <v>0.5</v>
      </c>
    </row>
    <row r="224" spans="2:26" x14ac:dyDescent="0.25">
      <c r="G224" t="s">
        <v>783</v>
      </c>
      <c r="H224">
        <v>6</v>
      </c>
      <c r="J224">
        <v>2</v>
      </c>
      <c r="L224">
        <f t="shared" si="42"/>
        <v>7</v>
      </c>
      <c r="O224">
        <v>1</v>
      </c>
      <c r="Q224">
        <v>2</v>
      </c>
      <c r="T224">
        <v>1</v>
      </c>
      <c r="U224">
        <f t="shared" si="43"/>
        <v>0.5</v>
      </c>
      <c r="V224">
        <f t="shared" si="44"/>
        <v>0.5</v>
      </c>
    </row>
    <row r="225" spans="2:31" x14ac:dyDescent="0.25">
      <c r="H225">
        <v>7</v>
      </c>
      <c r="J225">
        <v>2</v>
      </c>
      <c r="L225">
        <f t="shared" si="42"/>
        <v>9</v>
      </c>
      <c r="O225">
        <v>2</v>
      </c>
      <c r="Q225">
        <v>1</v>
      </c>
      <c r="T225">
        <v>1</v>
      </c>
      <c r="U225">
        <f t="shared" si="43"/>
        <v>0.5</v>
      </c>
      <c r="V225">
        <f t="shared" si="44"/>
        <v>0.5</v>
      </c>
    </row>
    <row r="226" spans="2:31" x14ac:dyDescent="0.25">
      <c r="B226">
        <f>0.85^3</f>
        <v>0.61412499999999992</v>
      </c>
      <c r="C226">
        <f>0.85^2</f>
        <v>0.72249999999999992</v>
      </c>
      <c r="H226">
        <v>8</v>
      </c>
      <c r="J226">
        <v>2</v>
      </c>
      <c r="L226">
        <f t="shared" si="42"/>
        <v>11</v>
      </c>
      <c r="O226">
        <v>2</v>
      </c>
      <c r="Q226">
        <v>1</v>
      </c>
      <c r="T226">
        <f>SUM(T220:T225)</f>
        <v>6</v>
      </c>
      <c r="U226">
        <f>SUM(U220:U225)</f>
        <v>3</v>
      </c>
      <c r="V226">
        <f>SUM(V220:V225)</f>
        <v>3</v>
      </c>
    </row>
    <row r="227" spans="2:31" x14ac:dyDescent="0.25">
      <c r="C227">
        <f>0.8^2</f>
        <v>0.64000000000000012</v>
      </c>
      <c r="H227">
        <v>9</v>
      </c>
      <c r="J227">
        <v>2</v>
      </c>
      <c r="L227">
        <f t="shared" si="42"/>
        <v>13</v>
      </c>
      <c r="O227">
        <v>2</v>
      </c>
      <c r="Q227">
        <v>1</v>
      </c>
    </row>
    <row r="228" spans="2:31" x14ac:dyDescent="0.25">
      <c r="H228">
        <v>10</v>
      </c>
      <c r="J228">
        <v>2</v>
      </c>
      <c r="L228">
        <f t="shared" si="42"/>
        <v>15</v>
      </c>
      <c r="O228">
        <v>2</v>
      </c>
      <c r="Q228">
        <v>1</v>
      </c>
      <c r="V228">
        <f>U226+V220</f>
        <v>3.5</v>
      </c>
    </row>
    <row r="229" spans="2:31" x14ac:dyDescent="0.25">
      <c r="H229">
        <v>11</v>
      </c>
      <c r="J229">
        <v>2</v>
      </c>
      <c r="L229">
        <f t="shared" si="42"/>
        <v>17</v>
      </c>
      <c r="M229">
        <f t="shared" ref="M229:M242" si="45">L229-1</f>
        <v>16</v>
      </c>
      <c r="O229">
        <f>SUM(O219:O228)</f>
        <v>14</v>
      </c>
      <c r="Q229">
        <f>SUM(Q219:Q228)</f>
        <v>16</v>
      </c>
    </row>
    <row r="230" spans="2:31" x14ac:dyDescent="0.25">
      <c r="C230">
        <f>C214-C215-C216-C217-C218-C219-C220-C221-C222-C223-C224-C225-C226-C227</f>
        <v>-25.362500000000001</v>
      </c>
      <c r="H230">
        <v>12</v>
      </c>
      <c r="J230">
        <v>2</v>
      </c>
      <c r="L230">
        <f t="shared" si="42"/>
        <v>19</v>
      </c>
      <c r="M230">
        <f t="shared" si="45"/>
        <v>18</v>
      </c>
      <c r="Z230" t="s">
        <v>1149</v>
      </c>
      <c r="AA230" t="s">
        <v>1459</v>
      </c>
      <c r="AC230" t="s">
        <v>1460</v>
      </c>
    </row>
    <row r="231" spans="2:31" x14ac:dyDescent="0.25">
      <c r="H231">
        <v>13</v>
      </c>
      <c r="J231">
        <v>1</v>
      </c>
      <c r="L231">
        <f t="shared" si="42"/>
        <v>20</v>
      </c>
      <c r="M231">
        <f t="shared" si="45"/>
        <v>19</v>
      </c>
      <c r="Y231" t="s">
        <v>739</v>
      </c>
      <c r="Z231">
        <v>7</v>
      </c>
      <c r="AA231">
        <v>7</v>
      </c>
      <c r="AC231">
        <v>7</v>
      </c>
    </row>
    <row r="232" spans="2:31" x14ac:dyDescent="0.25">
      <c r="H232">
        <v>14</v>
      </c>
      <c r="J232">
        <v>1</v>
      </c>
      <c r="L232">
        <f t="shared" si="42"/>
        <v>21</v>
      </c>
      <c r="M232">
        <f t="shared" si="45"/>
        <v>20</v>
      </c>
      <c r="Y232" t="s">
        <v>1241</v>
      </c>
      <c r="Z232">
        <v>3</v>
      </c>
      <c r="AA232">
        <v>3</v>
      </c>
      <c r="AC232">
        <v>3</v>
      </c>
    </row>
    <row r="233" spans="2:31" x14ac:dyDescent="0.25">
      <c r="H233">
        <v>15</v>
      </c>
      <c r="J233">
        <v>1</v>
      </c>
      <c r="L233">
        <f t="shared" si="42"/>
        <v>22</v>
      </c>
      <c r="M233">
        <f t="shared" si="45"/>
        <v>21</v>
      </c>
      <c r="O233">
        <f>40+20+10+5+10</f>
        <v>85</v>
      </c>
      <c r="P233">
        <f>2-7+2-2-1-1</f>
        <v>-7</v>
      </c>
      <c r="R233">
        <f>20-6</f>
        <v>14</v>
      </c>
      <c r="U233">
        <v>2</v>
      </c>
      <c r="V233">
        <f>U233-4-1-2-1</f>
        <v>-6</v>
      </c>
      <c r="Y233" t="s">
        <v>797</v>
      </c>
      <c r="Z233">
        <v>3</v>
      </c>
      <c r="AA233">
        <v>3</v>
      </c>
      <c r="AC233">
        <v>3</v>
      </c>
    </row>
    <row r="234" spans="2:31" x14ac:dyDescent="0.25">
      <c r="H234">
        <v>16</v>
      </c>
      <c r="J234">
        <v>1</v>
      </c>
      <c r="L234">
        <f t="shared" si="42"/>
        <v>23</v>
      </c>
      <c r="M234">
        <f t="shared" si="45"/>
        <v>22</v>
      </c>
      <c r="O234">
        <f>30+50+5+10</f>
        <v>95</v>
      </c>
      <c r="R234">
        <f>6/20</f>
        <v>0.3</v>
      </c>
      <c r="U234">
        <v>6</v>
      </c>
      <c r="V234">
        <f>U234-4-1-2-1</f>
        <v>-2</v>
      </c>
      <c r="Y234" t="s">
        <v>827</v>
      </c>
      <c r="Z234">
        <v>3</v>
      </c>
      <c r="AA234">
        <v>3</v>
      </c>
      <c r="AC234">
        <v>3</v>
      </c>
    </row>
    <row r="235" spans="2:31" x14ac:dyDescent="0.25">
      <c r="H235">
        <v>17</v>
      </c>
      <c r="J235">
        <v>1</v>
      </c>
      <c r="L235">
        <f t="shared" si="42"/>
        <v>24</v>
      </c>
      <c r="M235">
        <f t="shared" si="45"/>
        <v>23</v>
      </c>
      <c r="U235">
        <v>5</v>
      </c>
      <c r="V235">
        <f>U235-4-1-2-1</f>
        <v>-3</v>
      </c>
      <c r="Y235" t="s">
        <v>1453</v>
      </c>
      <c r="Z235">
        <v>5</v>
      </c>
      <c r="AA235">
        <f>7+3</f>
        <v>10</v>
      </c>
      <c r="AC235">
        <f>10+1</f>
        <v>11</v>
      </c>
    </row>
    <row r="236" spans="2:31" x14ac:dyDescent="0.25">
      <c r="H236">
        <v>18</v>
      </c>
      <c r="J236">
        <v>1</v>
      </c>
      <c r="L236">
        <f t="shared" si="42"/>
        <v>25</v>
      </c>
      <c r="M236">
        <f t="shared" si="45"/>
        <v>24</v>
      </c>
      <c r="O236">
        <f>40+10+5+5</f>
        <v>60</v>
      </c>
      <c r="R236">
        <v>0.7</v>
      </c>
      <c r="S236">
        <v>0.55000000000000004</v>
      </c>
      <c r="T236">
        <v>0.9</v>
      </c>
      <c r="U236">
        <v>8</v>
      </c>
      <c r="V236">
        <f>U236-4-1-2-1</f>
        <v>0</v>
      </c>
      <c r="Y236" t="s">
        <v>1225</v>
      </c>
      <c r="Z236">
        <v>1</v>
      </c>
      <c r="AA236">
        <v>1</v>
      </c>
      <c r="AC236">
        <v>1</v>
      </c>
    </row>
    <row r="237" spans="2:31" x14ac:dyDescent="0.25">
      <c r="H237">
        <v>19</v>
      </c>
      <c r="L237">
        <f t="shared" si="42"/>
        <v>25</v>
      </c>
      <c r="M237">
        <f t="shared" si="45"/>
        <v>24</v>
      </c>
      <c r="R237">
        <f>0.5*0.55*0.1</f>
        <v>2.7500000000000004E-2</v>
      </c>
      <c r="U237">
        <v>7</v>
      </c>
      <c r="V237">
        <f>U237-4-1-2-1</f>
        <v>-1</v>
      </c>
      <c r="X237">
        <f>11-5-2-3-1-2-1</f>
        <v>-3</v>
      </c>
      <c r="Y237" t="s">
        <v>824</v>
      </c>
      <c r="Z237">
        <v>2</v>
      </c>
      <c r="AA237">
        <v>1</v>
      </c>
      <c r="AC237">
        <v>1</v>
      </c>
    </row>
    <row r="238" spans="2:31" x14ac:dyDescent="0.25">
      <c r="H238">
        <v>20</v>
      </c>
      <c r="L238">
        <f t="shared" si="42"/>
        <v>25</v>
      </c>
      <c r="M238">
        <f t="shared" si="45"/>
        <v>24</v>
      </c>
      <c r="N238">
        <f>M238-1</f>
        <v>23</v>
      </c>
      <c r="R238">
        <f>1-R237</f>
        <v>0.97250000000000003</v>
      </c>
      <c r="S238">
        <f>R238^5</f>
        <v>0.86985737509267591</v>
      </c>
      <c r="X238">
        <f>7-5-2-3-1-2-1</f>
        <v>-7</v>
      </c>
      <c r="Z238">
        <f>Z231-Z232-Z233-Z234-Z235-Z236-Z237</f>
        <v>-10</v>
      </c>
      <c r="AA238">
        <f>AA231-AA232-AA233-AA234-AA235-AA236-AA237</f>
        <v>-14</v>
      </c>
      <c r="AC238">
        <f>AC231-AC232-AC233-AC234-AC235-AC236-AC237</f>
        <v>-15</v>
      </c>
    </row>
    <row r="239" spans="2:31" x14ac:dyDescent="0.25">
      <c r="H239">
        <v>21</v>
      </c>
      <c r="L239">
        <f t="shared" si="42"/>
        <v>25</v>
      </c>
      <c r="M239">
        <f t="shared" si="45"/>
        <v>24</v>
      </c>
      <c r="N239">
        <f>M239-1</f>
        <v>23</v>
      </c>
      <c r="O239">
        <f>18+3+1+1+1</f>
        <v>24</v>
      </c>
      <c r="R239">
        <f>R238^(4*5)</f>
        <v>0.57252202665305563</v>
      </c>
      <c r="W239">
        <f>(15+1)*5+14</f>
        <v>94</v>
      </c>
      <c r="X239">
        <f>(10+1)*5+1</f>
        <v>56</v>
      </c>
      <c r="AE239">
        <f>15*3.5*0.05</f>
        <v>2.625</v>
      </c>
    </row>
    <row r="240" spans="2:31" x14ac:dyDescent="0.25">
      <c r="H240">
        <v>22</v>
      </c>
      <c r="L240">
        <f t="shared" si="42"/>
        <v>25</v>
      </c>
      <c r="M240">
        <f t="shared" si="45"/>
        <v>24</v>
      </c>
      <c r="N240">
        <f>M240-1</f>
        <v>23</v>
      </c>
      <c r="W240">
        <f>(3.5*4)*5+5</f>
        <v>75</v>
      </c>
      <c r="AE240">
        <f>5.5*0.1</f>
        <v>0.55000000000000004</v>
      </c>
    </row>
    <row r="241" spans="8:35" x14ac:dyDescent="0.25">
      <c r="H241">
        <v>23</v>
      </c>
      <c r="L241">
        <f t="shared" si="42"/>
        <v>25</v>
      </c>
      <c r="M241">
        <f t="shared" si="45"/>
        <v>24</v>
      </c>
      <c r="N241">
        <f>M241-1</f>
        <v>23</v>
      </c>
      <c r="S241" t="s">
        <v>1149</v>
      </c>
      <c r="V241" t="s">
        <v>1149</v>
      </c>
      <c r="Y241">
        <f>11-10-7-3-2-1-2</f>
        <v>-14</v>
      </c>
    </row>
    <row r="242" spans="8:35" x14ac:dyDescent="0.25">
      <c r="H242">
        <v>24</v>
      </c>
      <c r="L242">
        <f t="shared" si="42"/>
        <v>25</v>
      </c>
      <c r="M242">
        <f t="shared" si="45"/>
        <v>24</v>
      </c>
      <c r="N242">
        <f>M242-1</f>
        <v>23</v>
      </c>
      <c r="R242" t="s">
        <v>407</v>
      </c>
      <c r="S242">
        <v>2</v>
      </c>
      <c r="T242">
        <v>2</v>
      </c>
      <c r="U242" t="s">
        <v>784</v>
      </c>
      <c r="V242">
        <v>2</v>
      </c>
      <c r="W242">
        <v>2</v>
      </c>
    </row>
    <row r="243" spans="8:35" x14ac:dyDescent="0.25">
      <c r="R243" t="s">
        <v>509</v>
      </c>
      <c r="S243">
        <v>5</v>
      </c>
      <c r="T243">
        <v>5</v>
      </c>
      <c r="U243" t="s">
        <v>509</v>
      </c>
      <c r="V243">
        <v>5</v>
      </c>
      <c r="W243">
        <v>5</v>
      </c>
      <c r="Z243" t="s">
        <v>1149</v>
      </c>
      <c r="AD243" t="s">
        <v>1149</v>
      </c>
      <c r="AH243" t="s">
        <v>1149</v>
      </c>
    </row>
    <row r="244" spans="8:35" x14ac:dyDescent="0.25">
      <c r="R244" t="s">
        <v>795</v>
      </c>
      <c r="S244">
        <v>2</v>
      </c>
      <c r="T244">
        <v>2</v>
      </c>
      <c r="U244" t="s">
        <v>795</v>
      </c>
      <c r="V244">
        <v>1</v>
      </c>
      <c r="W244">
        <v>1</v>
      </c>
      <c r="Y244" t="s">
        <v>784</v>
      </c>
      <c r="Z244">
        <v>1</v>
      </c>
      <c r="AA244">
        <v>1</v>
      </c>
      <c r="AC244" t="s">
        <v>1481</v>
      </c>
      <c r="AD244">
        <v>1</v>
      </c>
      <c r="AE244">
        <v>1</v>
      </c>
      <c r="AG244" t="s">
        <v>1515</v>
      </c>
      <c r="AH244">
        <v>1</v>
      </c>
      <c r="AI244">
        <v>1</v>
      </c>
    </row>
    <row r="245" spans="8:35" x14ac:dyDescent="0.25">
      <c r="R245" t="s">
        <v>796</v>
      </c>
      <c r="S245">
        <v>1</v>
      </c>
      <c r="T245">
        <v>1</v>
      </c>
      <c r="U245" t="s">
        <v>796</v>
      </c>
      <c r="V245">
        <v>1</v>
      </c>
      <c r="W245">
        <f>4/6</f>
        <v>0.66666666666666663</v>
      </c>
      <c r="Y245" t="s">
        <v>509</v>
      </c>
      <c r="Z245">
        <v>10</v>
      </c>
      <c r="AA245">
        <v>10</v>
      </c>
      <c r="AC245" t="s">
        <v>509</v>
      </c>
      <c r="AD245">
        <v>10</v>
      </c>
      <c r="AE245">
        <v>5</v>
      </c>
      <c r="AG245" t="s">
        <v>509</v>
      </c>
      <c r="AH245">
        <v>10</v>
      </c>
      <c r="AI245">
        <v>10</v>
      </c>
    </row>
    <row r="246" spans="8:35" x14ac:dyDescent="0.25">
      <c r="S246">
        <f>S242*S243*S244*S245</f>
        <v>20</v>
      </c>
      <c r="T246">
        <f>T242*T243*T244*T245</f>
        <v>20</v>
      </c>
      <c r="V246">
        <f>V242*V243*V244*V245</f>
        <v>10</v>
      </c>
      <c r="W246">
        <f>W242*W243*W244*W245</f>
        <v>6.6666666666666661</v>
      </c>
      <c r="Y246" t="s">
        <v>795</v>
      </c>
      <c r="Z246">
        <v>1</v>
      </c>
      <c r="AA246">
        <v>1</v>
      </c>
      <c r="AC246" t="s">
        <v>795</v>
      </c>
      <c r="AD246">
        <v>1</v>
      </c>
      <c r="AE246">
        <v>1</v>
      </c>
      <c r="AG246" t="s">
        <v>795</v>
      </c>
      <c r="AH246">
        <v>1</v>
      </c>
      <c r="AI246">
        <v>1</v>
      </c>
    </row>
    <row r="247" spans="8:35" x14ac:dyDescent="0.25">
      <c r="P247">
        <f>4.5+4</f>
        <v>8.5</v>
      </c>
      <c r="S247">
        <f>S246+T246</f>
        <v>40</v>
      </c>
      <c r="V247">
        <f>V246+W246</f>
        <v>16.666666666666664</v>
      </c>
      <c r="Y247" t="s">
        <v>796</v>
      </c>
      <c r="Z247">
        <v>1</v>
      </c>
      <c r="AA247">
        <f>4/6</f>
        <v>0.66666666666666663</v>
      </c>
      <c r="AC247" t="s">
        <v>796</v>
      </c>
      <c r="AD247">
        <v>1</v>
      </c>
      <c r="AE247">
        <v>1</v>
      </c>
      <c r="AG247" t="s">
        <v>796</v>
      </c>
      <c r="AH247">
        <v>1</v>
      </c>
      <c r="AI247">
        <v>1</v>
      </c>
    </row>
    <row r="248" spans="8:35" x14ac:dyDescent="0.25">
      <c r="P248">
        <v>5</v>
      </c>
      <c r="Z248">
        <f>Z244*Z245*Z246*Z247</f>
        <v>10</v>
      </c>
      <c r="AA248">
        <f>AA244*AA245*AA246*AA247</f>
        <v>6.6666666666666661</v>
      </c>
      <c r="AD248">
        <f>AD244*AD245*AD246*AD247</f>
        <v>10</v>
      </c>
      <c r="AE248">
        <f>AE244*AE245*AE246*AE247</f>
        <v>5</v>
      </c>
      <c r="AH248">
        <f>AH244*AH245*AH246*AH247</f>
        <v>10</v>
      </c>
      <c r="AI248">
        <f>AI244*AI245*AI246*AI247</f>
        <v>10</v>
      </c>
    </row>
    <row r="249" spans="8:35" x14ac:dyDescent="0.25">
      <c r="P249">
        <f>P248*P247+7</f>
        <v>49.5</v>
      </c>
      <c r="Z249">
        <f>Z248+AA248</f>
        <v>16.666666666666664</v>
      </c>
      <c r="AD249">
        <f>AD248+AE248</f>
        <v>15</v>
      </c>
      <c r="AH249">
        <f>AH248+AI248+AJ248</f>
        <v>20</v>
      </c>
    </row>
    <row r="250" spans="8:35" x14ac:dyDescent="0.25">
      <c r="AB250">
        <f>(20-16)/20</f>
        <v>0.2</v>
      </c>
    </row>
    <row r="252" spans="8:35" x14ac:dyDescent="0.25">
      <c r="AD252">
        <f>(2+3+3+2)*8*3</f>
        <v>240</v>
      </c>
      <c r="AG252">
        <f>20*2.5/2</f>
        <v>25</v>
      </c>
    </row>
    <row r="253" spans="8:35" x14ac:dyDescent="0.25">
      <c r="AD253">
        <f>AD252*0.75</f>
        <v>180</v>
      </c>
    </row>
    <row r="254" spans="8:35" x14ac:dyDescent="0.25">
      <c r="X254">
        <f>15*3.5*0.75</f>
        <v>39.375</v>
      </c>
      <c r="AB254">
        <f>(20-4)/20</f>
        <v>0.8</v>
      </c>
      <c r="AC254">
        <f>(20-5)/20</f>
        <v>0.75</v>
      </c>
    </row>
    <row r="255" spans="8:35" x14ac:dyDescent="0.25">
      <c r="Z255">
        <f>12*3*3.5/2+15*3.5/2</f>
        <v>89.25</v>
      </c>
      <c r="AB255">
        <f>0.2*0.25</f>
        <v>0.05</v>
      </c>
      <c r="AC255">
        <f>0.25*0.25</f>
        <v>6.25E-2</v>
      </c>
    </row>
    <row r="256" spans="8:35" x14ac:dyDescent="0.25">
      <c r="AC256">
        <f>AB255*AC255</f>
        <v>3.1250000000000002E-3</v>
      </c>
    </row>
    <row r="257" spans="14:33" x14ac:dyDescent="0.25">
      <c r="AD257">
        <f>10-1-4-3-5-1</f>
        <v>-4</v>
      </c>
    </row>
    <row r="261" spans="14:33" x14ac:dyDescent="0.25">
      <c r="R261">
        <v>1</v>
      </c>
      <c r="Z261">
        <f>20+100+500+750+1500</f>
        <v>2870</v>
      </c>
      <c r="AD261">
        <f>(2+3+3+3)</f>
        <v>11</v>
      </c>
      <c r="AF261">
        <f t="shared" ref="AF261:AF268" si="46">129-AG261</f>
        <v>129</v>
      </c>
      <c r="AG261">
        <v>0</v>
      </c>
    </row>
    <row r="262" spans="14:33" x14ac:dyDescent="0.25">
      <c r="R262">
        <v>2</v>
      </c>
      <c r="S262" t="s">
        <v>1457</v>
      </c>
      <c r="Z262">
        <f>Z261/5</f>
        <v>574</v>
      </c>
      <c r="AB262">
        <v>7</v>
      </c>
      <c r="AC262">
        <f>123-AB262</f>
        <v>116</v>
      </c>
      <c r="AD262">
        <f>AD261*10*3</f>
        <v>330</v>
      </c>
      <c r="AF262">
        <f t="shared" si="46"/>
        <v>114</v>
      </c>
      <c r="AG262">
        <v>15</v>
      </c>
    </row>
    <row r="263" spans="14:33" x14ac:dyDescent="0.25">
      <c r="R263">
        <v>3</v>
      </c>
      <c r="S263" t="s">
        <v>840</v>
      </c>
      <c r="Z263">
        <f>104*8</f>
        <v>832</v>
      </c>
      <c r="AB263">
        <v>17</v>
      </c>
      <c r="AC263">
        <f>123-AB263</f>
        <v>106</v>
      </c>
      <c r="AF263">
        <f t="shared" si="46"/>
        <v>89</v>
      </c>
      <c r="AG263">
        <v>40</v>
      </c>
    </row>
    <row r="264" spans="14:33" x14ac:dyDescent="0.25">
      <c r="R264">
        <v>4</v>
      </c>
      <c r="Z264">
        <f>624*8</f>
        <v>4992</v>
      </c>
      <c r="AB264">
        <v>30</v>
      </c>
      <c r="AC264">
        <f>123-AB264</f>
        <v>93</v>
      </c>
      <c r="AF264">
        <f t="shared" si="46"/>
        <v>125</v>
      </c>
      <c r="AG264">
        <v>4</v>
      </c>
    </row>
    <row r="265" spans="14:33" x14ac:dyDescent="0.25">
      <c r="R265">
        <v>5</v>
      </c>
      <c r="S265" t="s">
        <v>1484</v>
      </c>
      <c r="Z265">
        <f>4/9*0.2</f>
        <v>8.8888888888888892E-2</v>
      </c>
      <c r="AB265">
        <v>22</v>
      </c>
      <c r="AC265">
        <f>123-AB265</f>
        <v>101</v>
      </c>
      <c r="AE265">
        <f>129-87+129-5</f>
        <v>166</v>
      </c>
      <c r="AF265">
        <f t="shared" si="46"/>
        <v>129</v>
      </c>
      <c r="AG265">
        <v>0</v>
      </c>
    </row>
    <row r="266" spans="14:33" x14ac:dyDescent="0.25">
      <c r="R266">
        <v>6</v>
      </c>
      <c r="Z266">
        <f>2/11</f>
        <v>0.18181818181818182</v>
      </c>
      <c r="AC266">
        <f>AC262+AC263+AC264+AC265</f>
        <v>416</v>
      </c>
      <c r="AF266">
        <f t="shared" si="46"/>
        <v>105</v>
      </c>
      <c r="AG266">
        <v>24</v>
      </c>
    </row>
    <row r="267" spans="14:33" x14ac:dyDescent="0.25">
      <c r="R267">
        <v>7</v>
      </c>
      <c r="S267" t="s">
        <v>1485</v>
      </c>
      <c r="Z267">
        <f>4/45</f>
        <v>8.8888888888888892E-2</v>
      </c>
      <c r="AC267">
        <f>AC266*2+123*4</f>
        <v>1324</v>
      </c>
      <c r="AF267">
        <f t="shared" si="46"/>
        <v>129</v>
      </c>
      <c r="AG267">
        <v>0</v>
      </c>
    </row>
    <row r="268" spans="14:33" x14ac:dyDescent="0.25">
      <c r="R268">
        <v>8</v>
      </c>
      <c r="Z268">
        <f>3.75/2.05</f>
        <v>1.8292682926829269</v>
      </c>
      <c r="AF268">
        <f t="shared" si="46"/>
        <v>129</v>
      </c>
      <c r="AG268">
        <v>0</v>
      </c>
    </row>
    <row r="269" spans="14:33" x14ac:dyDescent="0.25">
      <c r="R269">
        <v>9</v>
      </c>
      <c r="U269">
        <f>1.575+2.25</f>
        <v>3.8250000000000002</v>
      </c>
      <c r="Z269">
        <f>3.75*Z268</f>
        <v>6.8597560975609762</v>
      </c>
      <c r="AF269">
        <f>SUM(AF261:AF268)</f>
        <v>949</v>
      </c>
    </row>
    <row r="270" spans="14:33" x14ac:dyDescent="0.25">
      <c r="U270">
        <f>6-1.575</f>
        <v>4.4249999999999998</v>
      </c>
      <c r="AC270">
        <f>AC267/3-80</f>
        <v>361.33333333333331</v>
      </c>
      <c r="AF270">
        <f>AF269*2</f>
        <v>1898</v>
      </c>
    </row>
    <row r="271" spans="14:33" x14ac:dyDescent="0.25">
      <c r="N271" t="s">
        <v>1534</v>
      </c>
      <c r="AG271">
        <f>89*2</f>
        <v>178</v>
      </c>
    </row>
    <row r="272" spans="14:33" x14ac:dyDescent="0.25">
      <c r="S272" t="s">
        <v>212</v>
      </c>
      <c r="T272">
        <v>10.5</v>
      </c>
      <c r="U272">
        <v>10.5</v>
      </c>
      <c r="V272">
        <v>10.5</v>
      </c>
      <c r="W272">
        <v>10.5</v>
      </c>
      <c r="X272">
        <v>10.5</v>
      </c>
      <c r="Y272">
        <v>10.5</v>
      </c>
    </row>
    <row r="273" spans="12:35" x14ac:dyDescent="0.25">
      <c r="N273" t="s">
        <v>1535</v>
      </c>
      <c r="O273">
        <v>1</v>
      </c>
      <c r="S273" t="s">
        <v>1487</v>
      </c>
      <c r="T273">
        <v>2</v>
      </c>
      <c r="U273">
        <v>2</v>
      </c>
      <c r="V273">
        <v>2</v>
      </c>
      <c r="W273">
        <v>2</v>
      </c>
      <c r="X273">
        <v>2</v>
      </c>
      <c r="Y273">
        <v>2</v>
      </c>
    </row>
    <row r="274" spans="12:35" x14ac:dyDescent="0.25">
      <c r="L274">
        <v>1</v>
      </c>
      <c r="M274">
        <v>1</v>
      </c>
      <c r="N274" t="s">
        <v>1536</v>
      </c>
      <c r="O274">
        <v>1</v>
      </c>
      <c r="S274" t="s">
        <v>674</v>
      </c>
      <c r="T274">
        <v>2</v>
      </c>
      <c r="U274">
        <v>2</v>
      </c>
      <c r="V274">
        <v>1</v>
      </c>
      <c r="W274">
        <v>1</v>
      </c>
      <c r="X274">
        <v>3</v>
      </c>
      <c r="Y274">
        <v>3</v>
      </c>
    </row>
    <row r="275" spans="12:35" x14ac:dyDescent="0.25">
      <c r="M275">
        <v>2</v>
      </c>
      <c r="N275" t="s">
        <v>1536</v>
      </c>
      <c r="O275">
        <v>1</v>
      </c>
      <c r="S275" t="s">
        <v>1486</v>
      </c>
      <c r="T275">
        <v>1</v>
      </c>
      <c r="U275">
        <v>1</v>
      </c>
      <c r="V275">
        <v>1</v>
      </c>
      <c r="W275">
        <v>1</v>
      </c>
      <c r="X275">
        <v>1</v>
      </c>
      <c r="Y275">
        <v>1</v>
      </c>
      <c r="AD275">
        <f>(((4.5+2)*5)+7)*3+(((3.5+2)*5)+7)*1</f>
        <v>153</v>
      </c>
    </row>
    <row r="276" spans="12:35" x14ac:dyDescent="0.25">
      <c r="L276">
        <v>2</v>
      </c>
      <c r="M276">
        <v>1</v>
      </c>
      <c r="N276" t="s">
        <v>1537</v>
      </c>
      <c r="O276">
        <v>1</v>
      </c>
      <c r="Q276">
        <f>1+(1+1)+(1+1)</f>
        <v>5</v>
      </c>
      <c r="S276" t="s">
        <v>1484</v>
      </c>
      <c r="T276">
        <v>1</v>
      </c>
      <c r="U276">
        <v>1</v>
      </c>
      <c r="V276">
        <v>5</v>
      </c>
      <c r="W276">
        <v>5</v>
      </c>
      <c r="X276">
        <v>1</v>
      </c>
      <c r="Y276">
        <v>1</v>
      </c>
      <c r="AD276" t="s">
        <v>1490</v>
      </c>
    </row>
    <row r="277" spans="12:35" x14ac:dyDescent="0.25">
      <c r="M277">
        <v>2</v>
      </c>
      <c r="N277" t="s">
        <v>1537</v>
      </c>
      <c r="O277">
        <v>1</v>
      </c>
      <c r="Q277">
        <f>1+(1+1+4)+(1+1+4)</f>
        <v>13</v>
      </c>
      <c r="S277" t="s">
        <v>1485</v>
      </c>
      <c r="T277">
        <v>13</v>
      </c>
      <c r="U277">
        <v>13</v>
      </c>
      <c r="V277">
        <v>1</v>
      </c>
      <c r="W277">
        <v>1</v>
      </c>
      <c r="X277">
        <v>13</v>
      </c>
      <c r="Y277">
        <v>13</v>
      </c>
      <c r="AD277" t="s">
        <v>1488</v>
      </c>
    </row>
    <row r="278" spans="12:35" x14ac:dyDescent="0.25">
      <c r="L278">
        <v>3</v>
      </c>
      <c r="M278">
        <v>1</v>
      </c>
      <c r="N278">
        <v>3</v>
      </c>
      <c r="O278">
        <v>1</v>
      </c>
      <c r="T278">
        <f t="shared" ref="T278:Y278" si="47">T272*T273*T274*T275*T276*T277</f>
        <v>546</v>
      </c>
      <c r="U278">
        <f t="shared" si="47"/>
        <v>546</v>
      </c>
      <c r="V278">
        <f t="shared" si="47"/>
        <v>105</v>
      </c>
      <c r="W278">
        <f t="shared" si="47"/>
        <v>105</v>
      </c>
      <c r="X278">
        <f t="shared" si="47"/>
        <v>819</v>
      </c>
      <c r="Y278">
        <f t="shared" si="47"/>
        <v>819</v>
      </c>
      <c r="AD278" t="s">
        <v>1489</v>
      </c>
    </row>
    <row r="279" spans="12:35" x14ac:dyDescent="0.25">
      <c r="M279">
        <v>2</v>
      </c>
      <c r="N279">
        <v>3</v>
      </c>
      <c r="O279">
        <v>1</v>
      </c>
      <c r="T279">
        <f>T273*T274*T275*T276*T277</f>
        <v>52</v>
      </c>
      <c r="U279">
        <f>U273*U274*U275*U276*U277</f>
        <v>52</v>
      </c>
      <c r="X279">
        <f>X278*0.35</f>
        <v>286.64999999999998</v>
      </c>
      <c r="AA279">
        <f>600*3+80</f>
        <v>1880</v>
      </c>
    </row>
    <row r="280" spans="12:35" x14ac:dyDescent="0.25">
      <c r="L280">
        <v>4</v>
      </c>
      <c r="M280">
        <v>1</v>
      </c>
      <c r="N280">
        <v>2</v>
      </c>
      <c r="O280">
        <v>1</v>
      </c>
      <c r="T280">
        <f>T279*2</f>
        <v>104</v>
      </c>
      <c r="U280">
        <f>U279*2</f>
        <v>104</v>
      </c>
      <c r="X280">
        <f>X278*0.75*0.6</f>
        <v>368.55</v>
      </c>
      <c r="AF280">
        <f>1250000+800000</f>
        <v>2050000</v>
      </c>
    </row>
    <row r="281" spans="12:35" x14ac:dyDescent="0.25">
      <c r="M281">
        <v>2</v>
      </c>
      <c r="N281">
        <v>2</v>
      </c>
      <c r="O281">
        <v>1</v>
      </c>
      <c r="S281">
        <v>10.5</v>
      </c>
    </row>
    <row r="282" spans="12:35" x14ac:dyDescent="0.25">
      <c r="L282">
        <v>5</v>
      </c>
      <c r="M282">
        <v>1</v>
      </c>
      <c r="N282">
        <v>1</v>
      </c>
      <c r="O282">
        <v>1</v>
      </c>
      <c r="S282">
        <v>2</v>
      </c>
      <c r="U282">
        <f>2.25/6</f>
        <v>0.375</v>
      </c>
      <c r="W282" t="s">
        <v>1500</v>
      </c>
      <c r="X282" t="s">
        <v>1501</v>
      </c>
      <c r="Y282" t="s">
        <v>1506</v>
      </c>
      <c r="Z282" t="s">
        <v>1502</v>
      </c>
      <c r="AA282" t="s">
        <v>1503</v>
      </c>
      <c r="AB282" t="s">
        <v>1504</v>
      </c>
    </row>
    <row r="283" spans="12:35" x14ac:dyDescent="0.25">
      <c r="M283">
        <v>2</v>
      </c>
      <c r="N283">
        <v>1</v>
      </c>
      <c r="O283">
        <v>1</v>
      </c>
      <c r="S283">
        <v>2</v>
      </c>
      <c r="W283" t="s">
        <v>1498</v>
      </c>
      <c r="Z283" t="s">
        <v>1505</v>
      </c>
      <c r="AG283" t="s">
        <v>1507</v>
      </c>
    </row>
    <row r="284" spans="12:35" x14ac:dyDescent="0.25">
      <c r="L284">
        <v>6</v>
      </c>
      <c r="M284">
        <v>1</v>
      </c>
      <c r="N284">
        <v>0</v>
      </c>
      <c r="O284">
        <v>1</v>
      </c>
      <c r="S284">
        <v>2</v>
      </c>
      <c r="U284">
        <f>(2+0.5)*2</f>
        <v>5</v>
      </c>
      <c r="W284" t="s">
        <v>1499</v>
      </c>
      <c r="AB284" t="s">
        <v>1505</v>
      </c>
    </row>
    <row r="285" spans="12:35" x14ac:dyDescent="0.25">
      <c r="M285">
        <v>2</v>
      </c>
      <c r="N285">
        <v>0</v>
      </c>
      <c r="O285">
        <v>1</v>
      </c>
      <c r="S285">
        <v>6</v>
      </c>
      <c r="U285">
        <v>6</v>
      </c>
      <c r="AE285" t="s">
        <v>670</v>
      </c>
      <c r="AI285" t="s">
        <v>1508</v>
      </c>
    </row>
    <row r="286" spans="12:35" x14ac:dyDescent="0.25">
      <c r="M286">
        <v>1</v>
      </c>
      <c r="O286">
        <f>SUM(O273:O285)</f>
        <v>13</v>
      </c>
      <c r="S286">
        <v>1</v>
      </c>
    </row>
    <row r="287" spans="12:35" x14ac:dyDescent="0.25">
      <c r="M287">
        <v>2</v>
      </c>
      <c r="W287">
        <f>(54)*1*2+(10+2+14)*2</f>
        <v>160</v>
      </c>
      <c r="X287">
        <f>129-58</f>
        <v>71</v>
      </c>
    </row>
    <row r="288" spans="12:35" x14ac:dyDescent="0.25">
      <c r="M288">
        <v>1</v>
      </c>
      <c r="S288">
        <f>S282*S283*S284*S285*S286</f>
        <v>48</v>
      </c>
      <c r="W288">
        <f>(54+1)*3*2+(10+2+14+1)*2</f>
        <v>384</v>
      </c>
      <c r="X288">
        <f>X287*5</f>
        <v>355</v>
      </c>
    </row>
    <row r="289" spans="13:35" x14ac:dyDescent="0.25">
      <c r="M289">
        <v>2</v>
      </c>
      <c r="U289" t="s">
        <v>629</v>
      </c>
      <c r="W289">
        <f>(3.5+6+8+10+3+10)*10</f>
        <v>405</v>
      </c>
      <c r="Y289" t="s">
        <v>1489</v>
      </c>
    </row>
    <row r="290" spans="13:35" x14ac:dyDescent="0.25">
      <c r="O290">
        <f>(2+5+1+1+2)*4</f>
        <v>44</v>
      </c>
      <c r="U290" t="s">
        <v>1493</v>
      </c>
      <c r="AE290">
        <v>4</v>
      </c>
      <c r="AI290" t="s">
        <v>668</v>
      </c>
    </row>
    <row r="291" spans="13:35" x14ac:dyDescent="0.25">
      <c r="U291" t="s">
        <v>1492</v>
      </c>
      <c r="AD291">
        <f>3000000/300</f>
        <v>10000</v>
      </c>
    </row>
    <row r="292" spans="13:35" x14ac:dyDescent="0.25">
      <c r="U292" t="s">
        <v>633</v>
      </c>
      <c r="AD292">
        <f>3000000/AD291</f>
        <v>300</v>
      </c>
      <c r="AG292">
        <v>5</v>
      </c>
    </row>
    <row r="293" spans="13:35" x14ac:dyDescent="0.25">
      <c r="U293" t="s">
        <v>1491</v>
      </c>
    </row>
    <row r="294" spans="13:35" x14ac:dyDescent="0.25">
      <c r="U294" t="s">
        <v>1494</v>
      </c>
      <c r="W294" t="s">
        <v>1495</v>
      </c>
    </row>
    <row r="295" spans="13:35" x14ac:dyDescent="0.25">
      <c r="W295" t="s">
        <v>1496</v>
      </c>
      <c r="AC295" t="s">
        <v>668</v>
      </c>
    </row>
    <row r="296" spans="13:35" x14ac:dyDescent="0.25">
      <c r="W296" t="s">
        <v>1497</v>
      </c>
      <c r="AB296" s="2" t="s">
        <v>1509</v>
      </c>
      <c r="AC296">
        <f>21*3*3</f>
        <v>189</v>
      </c>
    </row>
    <row r="297" spans="13:35" x14ac:dyDescent="0.25">
      <c r="AB297" s="2" t="s">
        <v>1509</v>
      </c>
      <c r="AI297" t="s">
        <v>668</v>
      </c>
    </row>
    <row r="298" spans="13:35" x14ac:dyDescent="0.25">
      <c r="S298" t="s">
        <v>212</v>
      </c>
      <c r="T298">
        <f>(3.5*3+3)*2</f>
        <v>27</v>
      </c>
      <c r="U298">
        <v>10.5</v>
      </c>
      <c r="V298">
        <v>10.5</v>
      </c>
      <c r="W298">
        <v>10.5</v>
      </c>
      <c r="X298">
        <v>10.5</v>
      </c>
      <c r="Y298">
        <v>10.5</v>
      </c>
      <c r="Z298">
        <v>10.5</v>
      </c>
      <c r="AB298" s="2" t="s">
        <v>1509</v>
      </c>
      <c r="AG298">
        <f>10000-2508</f>
        <v>7492</v>
      </c>
    </row>
    <row r="299" spans="13:35" x14ac:dyDescent="0.25">
      <c r="S299" t="s">
        <v>1487</v>
      </c>
      <c r="T299">
        <v>2</v>
      </c>
      <c r="U299">
        <v>2</v>
      </c>
      <c r="V299">
        <v>2</v>
      </c>
      <c r="W299">
        <v>2</v>
      </c>
      <c r="X299">
        <v>2</v>
      </c>
      <c r="Y299">
        <v>2</v>
      </c>
      <c r="Z299">
        <v>2</v>
      </c>
      <c r="AB299" s="2" t="s">
        <v>1509</v>
      </c>
      <c r="AC299" s="7" t="s">
        <v>1510</v>
      </c>
      <c r="AG299">
        <f>10000-6512</f>
        <v>3488</v>
      </c>
    </row>
    <row r="300" spans="13:35" x14ac:dyDescent="0.25">
      <c r="S300" t="s">
        <v>674</v>
      </c>
      <c r="T300">
        <v>1</v>
      </c>
      <c r="U300">
        <v>2</v>
      </c>
      <c r="V300">
        <v>2</v>
      </c>
      <c r="W300">
        <v>2</v>
      </c>
      <c r="X300">
        <v>2</v>
      </c>
      <c r="Y300">
        <v>1</v>
      </c>
      <c r="Z300">
        <v>2</v>
      </c>
      <c r="AB300" s="2" t="s">
        <v>1509</v>
      </c>
      <c r="AC300" t="s">
        <v>1508</v>
      </c>
      <c r="AG300">
        <f>10000</f>
        <v>10000</v>
      </c>
    </row>
    <row r="301" spans="13:35" x14ac:dyDescent="0.25">
      <c r="S301" t="s">
        <v>1486</v>
      </c>
      <c r="T301">
        <v>1</v>
      </c>
      <c r="U301">
        <v>2</v>
      </c>
      <c r="V301">
        <v>2</v>
      </c>
      <c r="W301">
        <v>1</v>
      </c>
      <c r="X301">
        <v>1</v>
      </c>
      <c r="Y301">
        <v>2</v>
      </c>
      <c r="Z301">
        <v>1</v>
      </c>
      <c r="AB301" s="2" t="s">
        <v>1509</v>
      </c>
      <c r="AC301" s="7" t="s">
        <v>1510</v>
      </c>
      <c r="AG301">
        <f>AG298+AG299+AG300</f>
        <v>20980</v>
      </c>
    </row>
    <row r="302" spans="13:35" x14ac:dyDescent="0.25">
      <c r="P302" t="s">
        <v>1531</v>
      </c>
      <c r="S302" t="s">
        <v>1484</v>
      </c>
      <c r="T302">
        <v>3</v>
      </c>
      <c r="U302">
        <v>3</v>
      </c>
      <c r="V302">
        <v>1</v>
      </c>
      <c r="W302">
        <v>3</v>
      </c>
      <c r="X302">
        <v>3</v>
      </c>
      <c r="Y302">
        <v>1</v>
      </c>
      <c r="Z302">
        <v>3</v>
      </c>
      <c r="AB302" s="2" t="s">
        <v>1509</v>
      </c>
      <c r="AC302" t="s">
        <v>670</v>
      </c>
      <c r="AG302">
        <f>AG301/2</f>
        <v>10490</v>
      </c>
    </row>
    <row r="303" spans="13:35" x14ac:dyDescent="0.25">
      <c r="P303" t="s">
        <v>1532</v>
      </c>
      <c r="S303" t="s">
        <v>1485</v>
      </c>
      <c r="T303">
        <v>1</v>
      </c>
      <c r="U303">
        <v>1</v>
      </c>
      <c r="V303">
        <v>1</v>
      </c>
      <c r="W303">
        <v>1</v>
      </c>
      <c r="X303">
        <v>7</v>
      </c>
      <c r="Y303">
        <v>5</v>
      </c>
      <c r="Z303">
        <v>1</v>
      </c>
      <c r="AB303" s="2" t="s">
        <v>1509</v>
      </c>
      <c r="AC303" s="7" t="s">
        <v>1510</v>
      </c>
      <c r="AH303">
        <f>10000-9944</f>
        <v>56</v>
      </c>
    </row>
    <row r="304" spans="13:35" x14ac:dyDescent="0.25">
      <c r="P304" t="s">
        <v>1238</v>
      </c>
      <c r="T304">
        <f t="shared" ref="T304:Z304" si="48">T298*T299*T300*T301*T302*T303</f>
        <v>162</v>
      </c>
      <c r="U304">
        <f t="shared" si="48"/>
        <v>252</v>
      </c>
      <c r="V304">
        <f t="shared" si="48"/>
        <v>84</v>
      </c>
      <c r="W304">
        <f t="shared" si="48"/>
        <v>126</v>
      </c>
      <c r="X304">
        <f t="shared" si="48"/>
        <v>882</v>
      </c>
      <c r="Y304">
        <f t="shared" si="48"/>
        <v>210</v>
      </c>
      <c r="Z304">
        <f t="shared" si="48"/>
        <v>126</v>
      </c>
      <c r="AB304" s="2" t="s">
        <v>1509</v>
      </c>
      <c r="AC304" t="s">
        <v>1507</v>
      </c>
      <c r="AH304">
        <f>23*10.5</f>
        <v>241.5</v>
      </c>
    </row>
    <row r="305" spans="14:30" x14ac:dyDescent="0.25">
      <c r="P305" t="s">
        <v>1238</v>
      </c>
    </row>
    <row r="306" spans="14:30" x14ac:dyDescent="0.25">
      <c r="N306" t="s">
        <v>1238</v>
      </c>
      <c r="P306" t="s">
        <v>1491</v>
      </c>
      <c r="AC306" t="s">
        <v>1511</v>
      </c>
    </row>
    <row r="307" spans="14:30" x14ac:dyDescent="0.25">
      <c r="N307" t="s">
        <v>1238</v>
      </c>
      <c r="P307" t="s">
        <v>632</v>
      </c>
    </row>
    <row r="308" spans="14:30" x14ac:dyDescent="0.25">
      <c r="N308" t="s">
        <v>1533</v>
      </c>
      <c r="P308" t="s">
        <v>1287</v>
      </c>
      <c r="R308" t="s">
        <v>1528</v>
      </c>
      <c r="W308" t="s">
        <v>1225</v>
      </c>
      <c r="Y308">
        <v>25</v>
      </c>
    </row>
    <row r="309" spans="14:30" x14ac:dyDescent="0.25">
      <c r="N309" t="s">
        <v>1300</v>
      </c>
      <c r="R309" t="s">
        <v>1524</v>
      </c>
      <c r="W309" t="s">
        <v>1225</v>
      </c>
      <c r="Y309">
        <v>20</v>
      </c>
    </row>
    <row r="310" spans="14:30" x14ac:dyDescent="0.25">
      <c r="R310" t="s">
        <v>1526</v>
      </c>
      <c r="W310" t="s">
        <v>1512</v>
      </c>
      <c r="Y310">
        <v>40</v>
      </c>
    </row>
    <row r="311" spans="14:30" x14ac:dyDescent="0.25">
      <c r="R311" t="s">
        <v>1527</v>
      </c>
      <c r="AA311" t="s">
        <v>1514</v>
      </c>
    </row>
    <row r="312" spans="14:30" x14ac:dyDescent="0.25">
      <c r="R312" t="s">
        <v>1523</v>
      </c>
      <c r="W312" t="s">
        <v>879</v>
      </c>
      <c r="Y312">
        <v>50</v>
      </c>
      <c r="AA312">
        <f>20+25+50</f>
        <v>95</v>
      </c>
    </row>
    <row r="313" spans="14:30" x14ac:dyDescent="0.25">
      <c r="N313" t="s">
        <v>1492</v>
      </c>
      <c r="R313" t="s">
        <v>1525</v>
      </c>
      <c r="W313" t="s">
        <v>879</v>
      </c>
      <c r="Y313">
        <v>50</v>
      </c>
    </row>
    <row r="314" spans="14:30" x14ac:dyDescent="0.25">
      <c r="N314" t="s">
        <v>629</v>
      </c>
      <c r="O314">
        <f>5.5+3+2</f>
        <v>10.5</v>
      </c>
      <c r="AA314" t="s">
        <v>1513</v>
      </c>
    </row>
    <row r="315" spans="14:30" x14ac:dyDescent="0.25">
      <c r="N315" t="s">
        <v>632</v>
      </c>
      <c r="O315">
        <f>3.5+9</f>
        <v>12.5</v>
      </c>
      <c r="Q315" t="s">
        <v>212</v>
      </c>
      <c r="R315">
        <f>(3.5*3)</f>
        <v>10.5</v>
      </c>
      <c r="S315">
        <f>(3.5*3)</f>
        <v>10.5</v>
      </c>
      <c r="T315">
        <f>(2.5*15)*0.5+(2.5*15)*0.25</f>
        <v>28.125</v>
      </c>
      <c r="U315" t="s">
        <v>212</v>
      </c>
      <c r="V315">
        <f>(2.5*5+30)*0.5+(2.5*5+30)*0.25</f>
        <v>31.875</v>
      </c>
      <c r="W315">
        <f>(2.5*5+30)*0.5+(2.5*5+30)*0.25</f>
        <v>31.875</v>
      </c>
      <c r="X315">
        <f>(5*4+30)</f>
        <v>50</v>
      </c>
      <c r="AA315">
        <f>40+50</f>
        <v>90</v>
      </c>
      <c r="AD315">
        <f>(3.5+4+3+9)*2+(3.5+3+9)</f>
        <v>54.5</v>
      </c>
    </row>
    <row r="316" spans="14:30" x14ac:dyDescent="0.25">
      <c r="N316" t="s">
        <v>1491</v>
      </c>
      <c r="Q316" t="s">
        <v>1487</v>
      </c>
      <c r="R316">
        <f>(4.5*1)</f>
        <v>4.5</v>
      </c>
      <c r="S316">
        <f>(4.5*1)</f>
        <v>4.5</v>
      </c>
      <c r="T316">
        <f>T315*10</f>
        <v>281.25</v>
      </c>
      <c r="U316" t="s">
        <v>675</v>
      </c>
      <c r="V316">
        <v>1</v>
      </c>
      <c r="W316">
        <v>3</v>
      </c>
      <c r="X316">
        <v>3</v>
      </c>
      <c r="Y316" t="s">
        <v>577</v>
      </c>
      <c r="Z316" t="s">
        <v>578</v>
      </c>
    </row>
    <row r="317" spans="14:30" x14ac:dyDescent="0.25">
      <c r="N317" t="s">
        <v>1533</v>
      </c>
      <c r="Q317" t="s">
        <v>674</v>
      </c>
      <c r="R317">
        <v>2</v>
      </c>
      <c r="S317">
        <v>3</v>
      </c>
      <c r="T317">
        <f>T316*1.2</f>
        <v>337.5</v>
      </c>
      <c r="U317" t="s">
        <v>1486</v>
      </c>
      <c r="V317">
        <v>1</v>
      </c>
      <c r="W317">
        <v>1</v>
      </c>
      <c r="X317">
        <v>1</v>
      </c>
      <c r="Y317" t="s">
        <v>577</v>
      </c>
      <c r="Z317" t="s">
        <v>576</v>
      </c>
      <c r="AA317">
        <v>135</v>
      </c>
      <c r="AB317">
        <v>500</v>
      </c>
      <c r="AC317">
        <f>AA317+AB317</f>
        <v>635</v>
      </c>
    </row>
    <row r="318" spans="14:30" x14ac:dyDescent="0.25">
      <c r="Q318" t="s">
        <v>1486</v>
      </c>
      <c r="R318">
        <v>1</v>
      </c>
      <c r="S318">
        <v>1</v>
      </c>
      <c r="T318">
        <f>T317*6</f>
        <v>2025</v>
      </c>
      <c r="U318" t="s">
        <v>1484</v>
      </c>
      <c r="V318">
        <v>1</v>
      </c>
      <c r="W318">
        <v>1</v>
      </c>
      <c r="X318">
        <v>1</v>
      </c>
      <c r="Y318" t="s">
        <v>577</v>
      </c>
      <c r="Z318" t="s">
        <v>159</v>
      </c>
    </row>
    <row r="319" spans="14:30" x14ac:dyDescent="0.25">
      <c r="Q319" t="s">
        <v>1484</v>
      </c>
      <c r="R319">
        <v>5</v>
      </c>
      <c r="S319">
        <v>1</v>
      </c>
      <c r="U319" t="s">
        <v>1485</v>
      </c>
      <c r="V319">
        <v>5</v>
      </c>
      <c r="W319">
        <v>9</v>
      </c>
      <c r="X319">
        <v>9</v>
      </c>
      <c r="Y319" t="s">
        <v>577</v>
      </c>
    </row>
    <row r="320" spans="14:30" x14ac:dyDescent="0.25">
      <c r="N320">
        <v>6</v>
      </c>
      <c r="Q320" t="s">
        <v>1485</v>
      </c>
      <c r="R320">
        <v>1</v>
      </c>
      <c r="S320">
        <v>9</v>
      </c>
      <c r="V320">
        <f>V315*V316*V317*V318*V319</f>
        <v>159.375</v>
      </c>
      <c r="W320">
        <f>W315*W316*W317*W318*W319</f>
        <v>860.625</v>
      </c>
      <c r="X320">
        <f>X315*X316*X317*X318*X319</f>
        <v>1350</v>
      </c>
      <c r="Y320" t="s">
        <v>577</v>
      </c>
    </row>
    <row r="321" spans="14:31" x14ac:dyDescent="0.25">
      <c r="N321">
        <v>1</v>
      </c>
      <c r="O321" t="s">
        <v>1538</v>
      </c>
      <c r="R321">
        <f>(R315+R316)*2*R317*R318*R319*R320</f>
        <v>300</v>
      </c>
      <c r="S321">
        <f>(S315+S316)*2*S317*S318*S319*S320</f>
        <v>810</v>
      </c>
      <c r="U321">
        <f>350*3+80</f>
        <v>1130</v>
      </c>
      <c r="W321">
        <f>W320/W315</f>
        <v>27</v>
      </c>
      <c r="X321">
        <f>X320/X315</f>
        <v>27</v>
      </c>
      <c r="Y321" t="s">
        <v>577</v>
      </c>
      <c r="AB321">
        <f>350*3+80*1.25</f>
        <v>1150</v>
      </c>
    </row>
    <row r="322" spans="14:31" x14ac:dyDescent="0.25">
      <c r="N322">
        <v>2</v>
      </c>
      <c r="O322" t="s">
        <v>1538</v>
      </c>
      <c r="R322">
        <f>(R321-80)/3</f>
        <v>73.333333333333329</v>
      </c>
      <c r="AB322">
        <f>24*0.6</f>
        <v>14.399999999999999</v>
      </c>
    </row>
    <row r="323" spans="14:31" x14ac:dyDescent="0.25">
      <c r="N323">
        <v>3</v>
      </c>
      <c r="O323" t="s">
        <v>1149</v>
      </c>
      <c r="V323" t="s">
        <v>1529</v>
      </c>
      <c r="W323">
        <v>9</v>
      </c>
      <c r="X323">
        <v>10</v>
      </c>
      <c r="Y323">
        <v>11</v>
      </c>
      <c r="Z323">
        <v>12</v>
      </c>
    </row>
    <row r="324" spans="14:31" x14ac:dyDescent="0.25">
      <c r="N324">
        <v>4</v>
      </c>
      <c r="O324" t="s">
        <v>1149</v>
      </c>
      <c r="W324">
        <f>135000</f>
        <v>135000</v>
      </c>
      <c r="X324">
        <v>250000</v>
      </c>
      <c r="Y324">
        <v>375000</v>
      </c>
      <c r="Z324">
        <v>750000</v>
      </c>
    </row>
    <row r="325" spans="14:31" x14ac:dyDescent="0.25">
      <c r="N325">
        <v>5</v>
      </c>
      <c r="O325" t="s">
        <v>1539</v>
      </c>
      <c r="W325">
        <f>500000</f>
        <v>500000</v>
      </c>
      <c r="X325">
        <v>750000</v>
      </c>
      <c r="Y325">
        <v>1000000</v>
      </c>
      <c r="Z325">
        <v>1250000</v>
      </c>
    </row>
    <row r="326" spans="14:31" x14ac:dyDescent="0.25">
      <c r="N326">
        <v>6</v>
      </c>
      <c r="O326" t="s">
        <v>1539</v>
      </c>
      <c r="W326">
        <f>W324+W325</f>
        <v>635000</v>
      </c>
      <c r="X326">
        <f>X324+X325</f>
        <v>1000000</v>
      </c>
      <c r="Y326">
        <f>Y324+Y325</f>
        <v>1375000</v>
      </c>
      <c r="Z326">
        <f>Z324+Z325</f>
        <v>2000000</v>
      </c>
      <c r="AB326">
        <f>15+4-3-3-1-1</f>
        <v>11</v>
      </c>
    </row>
    <row r="327" spans="14:31" x14ac:dyDescent="0.25">
      <c r="N327">
        <v>1</v>
      </c>
      <c r="O327" t="s">
        <v>1470</v>
      </c>
      <c r="S327">
        <f>7.8/(4*24+13)</f>
        <v>7.155963302752294E-2</v>
      </c>
      <c r="T327">
        <f>0.07*(24*4+13)</f>
        <v>7.6300000000000008</v>
      </c>
      <c r="V327" t="s">
        <v>1530</v>
      </c>
      <c r="W327">
        <v>9</v>
      </c>
      <c r="X327">
        <v>10</v>
      </c>
      <c r="Y327">
        <v>11</v>
      </c>
      <c r="Z327">
        <v>12</v>
      </c>
    </row>
    <row r="328" spans="14:31" x14ac:dyDescent="0.25">
      <c r="N328">
        <v>6</v>
      </c>
      <c r="O328" t="s">
        <v>1151</v>
      </c>
      <c r="S328">
        <f>7/35</f>
        <v>0.2</v>
      </c>
      <c r="W328">
        <f>135000</f>
        <v>135000</v>
      </c>
      <c r="X328">
        <v>250000</v>
      </c>
      <c r="Y328">
        <v>375000</v>
      </c>
      <c r="Z328">
        <v>750000</v>
      </c>
    </row>
    <row r="329" spans="14:31" x14ac:dyDescent="0.25">
      <c r="W329">
        <v>450000</v>
      </c>
      <c r="X329">
        <v>675000</v>
      </c>
      <c r="Y329">
        <v>900000</v>
      </c>
      <c r="Z329">
        <v>1125000</v>
      </c>
    </row>
    <row r="330" spans="14:31" x14ac:dyDescent="0.25">
      <c r="P330" t="s">
        <v>212</v>
      </c>
      <c r="Q330">
        <v>0</v>
      </c>
      <c r="W330">
        <f>W328+W329</f>
        <v>585000</v>
      </c>
      <c r="X330">
        <f>X328+X329</f>
        <v>925000</v>
      </c>
      <c r="Y330">
        <f>Y328+Y329</f>
        <v>1275000</v>
      </c>
      <c r="Z330">
        <f>Z328+Z329</f>
        <v>1875000</v>
      </c>
    </row>
    <row r="331" spans="14:31" x14ac:dyDescent="0.25">
      <c r="P331" t="s">
        <v>1465</v>
      </c>
      <c r="Q331">
        <v>4</v>
      </c>
      <c r="V331" t="s">
        <v>1106</v>
      </c>
      <c r="W331">
        <v>9</v>
      </c>
      <c r="X331">
        <v>10</v>
      </c>
      <c r="Y331">
        <v>11</v>
      </c>
      <c r="Z331">
        <v>12</v>
      </c>
    </row>
    <row r="332" spans="14:31" x14ac:dyDescent="0.25">
      <c r="P332" t="s">
        <v>830</v>
      </c>
      <c r="Q332">
        <v>0</v>
      </c>
      <c r="W332">
        <f>135000</f>
        <v>135000</v>
      </c>
      <c r="X332">
        <v>250000</v>
      </c>
      <c r="Y332">
        <v>375000</v>
      </c>
      <c r="Z332">
        <v>750000</v>
      </c>
    </row>
    <row r="333" spans="14:31" x14ac:dyDescent="0.25">
      <c r="P333" t="s">
        <v>809</v>
      </c>
      <c r="Q333">
        <v>2</v>
      </c>
      <c r="W333">
        <v>160000</v>
      </c>
      <c r="X333">
        <v>220000</v>
      </c>
      <c r="Y333">
        <v>440000</v>
      </c>
      <c r="Z333">
        <v>660000</v>
      </c>
    </row>
    <row r="334" spans="14:31" x14ac:dyDescent="0.25">
      <c r="N334" t="s">
        <v>1200</v>
      </c>
      <c r="O334">
        <v>30</v>
      </c>
      <c r="P334" t="s">
        <v>642</v>
      </c>
      <c r="Q334">
        <v>1</v>
      </c>
      <c r="S334" t="s">
        <v>1541</v>
      </c>
      <c r="T334">
        <v>10</v>
      </c>
      <c r="W334">
        <f>W332+W333</f>
        <v>295000</v>
      </c>
      <c r="X334">
        <f>X332+X333</f>
        <v>470000</v>
      </c>
      <c r="Y334">
        <f>Y332+Y333</f>
        <v>815000</v>
      </c>
      <c r="Z334">
        <f>Z332+Z333</f>
        <v>1410000</v>
      </c>
    </row>
    <row r="335" spans="14:31" x14ac:dyDescent="0.25">
      <c r="N335" t="s">
        <v>1187</v>
      </c>
      <c r="O335">
        <v>20</v>
      </c>
      <c r="P335" t="s">
        <v>645</v>
      </c>
      <c r="Q335">
        <v>2</v>
      </c>
      <c r="S335" t="s">
        <v>1512</v>
      </c>
      <c r="T335">
        <v>10</v>
      </c>
      <c r="AC335" t="s">
        <v>1545</v>
      </c>
      <c r="AE335" t="s">
        <v>1080</v>
      </c>
    </row>
    <row r="336" spans="14:31" x14ac:dyDescent="0.25">
      <c r="P336" t="s">
        <v>1540</v>
      </c>
      <c r="Q336">
        <v>1</v>
      </c>
      <c r="S336" t="s">
        <v>1200</v>
      </c>
      <c r="T336">
        <v>30</v>
      </c>
      <c r="W336" t="s">
        <v>68</v>
      </c>
      <c r="Z336" t="s">
        <v>821</v>
      </c>
      <c r="AD336" t="s">
        <v>821</v>
      </c>
    </row>
    <row r="337" spans="15:34" x14ac:dyDescent="0.25">
      <c r="P337" t="s">
        <v>1463</v>
      </c>
      <c r="Q337">
        <v>3</v>
      </c>
      <c r="S337" t="s">
        <v>1146</v>
      </c>
      <c r="T337">
        <v>0</v>
      </c>
      <c r="V337" t="s">
        <v>1453</v>
      </c>
      <c r="W337">
        <v>5.5</v>
      </c>
      <c r="Y337" t="s">
        <v>212</v>
      </c>
      <c r="Z337">
        <v>14</v>
      </c>
      <c r="AA337">
        <v>14</v>
      </c>
      <c r="AC337" t="s">
        <v>212</v>
      </c>
      <c r="AD337">
        <v>11</v>
      </c>
      <c r="AE337">
        <v>14</v>
      </c>
    </row>
    <row r="338" spans="15:34" x14ac:dyDescent="0.25">
      <c r="O338">
        <f>SUM(O334:O337)</f>
        <v>50</v>
      </c>
      <c r="P338" t="s">
        <v>634</v>
      </c>
      <c r="Q338">
        <v>4</v>
      </c>
      <c r="S338" t="s">
        <v>1011</v>
      </c>
      <c r="T338">
        <v>0</v>
      </c>
      <c r="V338" t="s">
        <v>232</v>
      </c>
      <c r="W338">
        <v>2</v>
      </c>
      <c r="Y338" t="s">
        <v>1453</v>
      </c>
      <c r="Z338">
        <v>-2</v>
      </c>
      <c r="AA338">
        <v>-4</v>
      </c>
      <c r="AC338" t="s">
        <v>1453</v>
      </c>
      <c r="AD338">
        <v>-2</v>
      </c>
      <c r="AE338">
        <v>-2</v>
      </c>
    </row>
    <row r="339" spans="15:34" x14ac:dyDescent="0.25">
      <c r="S339" t="s">
        <v>1466</v>
      </c>
      <c r="T339">
        <v>0</v>
      </c>
      <c r="V339" t="s">
        <v>91</v>
      </c>
      <c r="W339">
        <v>3</v>
      </c>
      <c r="Y339" t="s">
        <v>91</v>
      </c>
      <c r="Z339">
        <v>-3</v>
      </c>
      <c r="AA339">
        <v>-3</v>
      </c>
      <c r="AC339" t="s">
        <v>91</v>
      </c>
      <c r="AD339">
        <v>-1</v>
      </c>
      <c r="AE339">
        <v>0</v>
      </c>
    </row>
    <row r="340" spans="15:34" x14ac:dyDescent="0.25">
      <c r="S340" t="s">
        <v>1082</v>
      </c>
      <c r="T340">
        <v>50</v>
      </c>
      <c r="V340" t="s">
        <v>1543</v>
      </c>
      <c r="W340">
        <v>0</v>
      </c>
      <c r="Y340" t="s">
        <v>1544</v>
      </c>
      <c r="Z340">
        <v>-4</v>
      </c>
      <c r="AA340">
        <v>-4</v>
      </c>
      <c r="AC340" t="s">
        <v>1544</v>
      </c>
      <c r="AD340">
        <v>-4</v>
      </c>
      <c r="AE340">
        <v>-4</v>
      </c>
    </row>
    <row r="341" spans="15:34" x14ac:dyDescent="0.25">
      <c r="T341">
        <f>SUM(T334:T340)</f>
        <v>100</v>
      </c>
      <c r="V341" t="s">
        <v>212</v>
      </c>
      <c r="W341">
        <f>SUM(W337:W340)</f>
        <v>10.5</v>
      </c>
      <c r="Y341" t="s">
        <v>834</v>
      </c>
      <c r="Z341">
        <v>4</v>
      </c>
      <c r="AA341">
        <v>4</v>
      </c>
      <c r="AC341" t="s">
        <v>834</v>
      </c>
      <c r="AD341">
        <v>4</v>
      </c>
      <c r="AE341">
        <v>4</v>
      </c>
    </row>
    <row r="342" spans="15:34" x14ac:dyDescent="0.25">
      <c r="Q342">
        <f>Q330-Q331-Q332-Q333-Q334-Q335-Q336-Q337-Q338-Q339-Q340-Q341</f>
        <v>-17</v>
      </c>
      <c r="V342" t="s">
        <v>1542</v>
      </c>
      <c r="W342">
        <v>5</v>
      </c>
      <c r="Y342" t="s">
        <v>1192</v>
      </c>
      <c r="Z342">
        <v>-1</v>
      </c>
      <c r="AA342">
        <v>-1</v>
      </c>
      <c r="AC342" t="s">
        <v>1192</v>
      </c>
      <c r="AD342">
        <v>-1</v>
      </c>
      <c r="AE342">
        <v>-1</v>
      </c>
    </row>
    <row r="343" spans="15:34" x14ac:dyDescent="0.25">
      <c r="T343" t="s">
        <v>1558</v>
      </c>
      <c r="V343" t="s">
        <v>68</v>
      </c>
      <c r="W343">
        <f>W341*W342</f>
        <v>52.5</v>
      </c>
      <c r="AE343">
        <v>-1</v>
      </c>
    </row>
    <row r="344" spans="15:34" x14ac:dyDescent="0.25">
      <c r="T344" t="s">
        <v>1559</v>
      </c>
      <c r="V344" t="s">
        <v>155</v>
      </c>
      <c r="W344">
        <v>5</v>
      </c>
    </row>
    <row r="345" spans="15:34" x14ac:dyDescent="0.25">
      <c r="T345" t="s">
        <v>1560</v>
      </c>
      <c r="V345" t="s">
        <v>231</v>
      </c>
      <c r="W345">
        <f>W343+W344</f>
        <v>57.5</v>
      </c>
      <c r="Z345">
        <f>SUM(Z337:Z344)</f>
        <v>8</v>
      </c>
      <c r="AA345">
        <f>SUM(AA337:AA344)</f>
        <v>6</v>
      </c>
      <c r="AD345">
        <f>SUM(AD337:AD344)</f>
        <v>7</v>
      </c>
      <c r="AE345">
        <f>SUM(AE337:AE344)</f>
        <v>10</v>
      </c>
    </row>
    <row r="346" spans="15:34" x14ac:dyDescent="0.25">
      <c r="T346" t="s">
        <v>1561</v>
      </c>
    </row>
    <row r="347" spans="15:34" x14ac:dyDescent="0.25">
      <c r="T347" t="s">
        <v>1562</v>
      </c>
      <c r="AA347" t="s">
        <v>1554</v>
      </c>
    </row>
    <row r="348" spans="15:34" x14ac:dyDescent="0.25">
      <c r="R348" t="s">
        <v>619</v>
      </c>
      <c r="T348" t="s">
        <v>1563</v>
      </c>
      <c r="U348" t="s">
        <v>1564</v>
      </c>
      <c r="W348" t="s">
        <v>1080</v>
      </c>
      <c r="AA348" t="s">
        <v>1553</v>
      </c>
      <c r="AC348" t="s">
        <v>1080</v>
      </c>
      <c r="AD348" t="s">
        <v>1545</v>
      </c>
      <c r="AF348" t="s">
        <v>1080</v>
      </c>
      <c r="AH348" t="s">
        <v>1565</v>
      </c>
    </row>
    <row r="349" spans="15:34" x14ac:dyDescent="0.25">
      <c r="R349" t="s">
        <v>1546</v>
      </c>
      <c r="S349" t="s">
        <v>1542</v>
      </c>
      <c r="T349" t="s">
        <v>1547</v>
      </c>
      <c r="V349" t="s">
        <v>1546</v>
      </c>
      <c r="W349" t="s">
        <v>1542</v>
      </c>
      <c r="X349" t="s">
        <v>1547</v>
      </c>
    </row>
    <row r="350" spans="15:34" x14ac:dyDescent="0.25">
      <c r="R350">
        <v>1</v>
      </c>
      <c r="S350">
        <v>2</v>
      </c>
      <c r="T350" t="s">
        <v>1113</v>
      </c>
      <c r="U350">
        <v>3.5</v>
      </c>
      <c r="V350">
        <v>1</v>
      </c>
      <c r="W350">
        <f t="shared" ref="W350:W365" si="49">S350</f>
        <v>2</v>
      </c>
      <c r="X350" t="s">
        <v>1113</v>
      </c>
      <c r="Y350">
        <v>3.5</v>
      </c>
      <c r="AA350" t="s">
        <v>1453</v>
      </c>
      <c r="AB350">
        <v>5.5</v>
      </c>
      <c r="AC350">
        <v>5.5</v>
      </c>
      <c r="AD350">
        <v>5.5</v>
      </c>
      <c r="AF350">
        <f>3.5</f>
        <v>3.5</v>
      </c>
      <c r="AH350">
        <v>6</v>
      </c>
    </row>
    <row r="351" spans="15:34" x14ac:dyDescent="0.25">
      <c r="R351">
        <f t="shared" ref="R351:R370" si="50">R350+1</f>
        <v>2</v>
      </c>
      <c r="S351">
        <v>2</v>
      </c>
      <c r="T351" t="s">
        <v>1113</v>
      </c>
      <c r="U351">
        <v>3.5</v>
      </c>
      <c r="V351">
        <f t="shared" ref="V351:V370" si="51">V350+1</f>
        <v>2</v>
      </c>
      <c r="W351">
        <f t="shared" si="49"/>
        <v>2</v>
      </c>
      <c r="X351" t="s">
        <v>1113</v>
      </c>
      <c r="Y351">
        <v>3.5</v>
      </c>
      <c r="AA351" t="s">
        <v>232</v>
      </c>
      <c r="AB351">
        <v>2</v>
      </c>
      <c r="AC351">
        <v>2</v>
      </c>
      <c r="AD351">
        <v>2</v>
      </c>
      <c r="AF351">
        <v>3</v>
      </c>
      <c r="AH351">
        <v>3</v>
      </c>
    </row>
    <row r="352" spans="15:34" x14ac:dyDescent="0.25">
      <c r="R352">
        <f t="shared" si="50"/>
        <v>3</v>
      </c>
      <c r="S352">
        <v>2</v>
      </c>
      <c r="T352" t="s">
        <v>1113</v>
      </c>
      <c r="U352">
        <v>3.5</v>
      </c>
      <c r="V352">
        <f t="shared" si="51"/>
        <v>3</v>
      </c>
      <c r="W352" s="1">
        <f t="shared" si="49"/>
        <v>2</v>
      </c>
      <c r="X352" s="1" t="s">
        <v>1548</v>
      </c>
      <c r="Y352" s="1">
        <v>7</v>
      </c>
      <c r="AA352" t="s">
        <v>91</v>
      </c>
      <c r="AB352">
        <v>3</v>
      </c>
      <c r="AC352">
        <v>0</v>
      </c>
      <c r="AD352">
        <v>1</v>
      </c>
      <c r="AF352">
        <v>0</v>
      </c>
    </row>
    <row r="353" spans="18:34" x14ac:dyDescent="0.25">
      <c r="R353">
        <f t="shared" si="50"/>
        <v>4</v>
      </c>
      <c r="S353">
        <v>2</v>
      </c>
      <c r="T353" t="s">
        <v>1548</v>
      </c>
      <c r="U353">
        <v>7</v>
      </c>
      <c r="V353">
        <f t="shared" si="51"/>
        <v>4</v>
      </c>
      <c r="W353" s="1">
        <f t="shared" si="49"/>
        <v>2</v>
      </c>
      <c r="X353" s="1" t="s">
        <v>1548</v>
      </c>
      <c r="Y353" s="1">
        <v>7</v>
      </c>
      <c r="AA353" t="s">
        <v>1543</v>
      </c>
      <c r="AB353">
        <v>0</v>
      </c>
      <c r="AC353">
        <v>1</v>
      </c>
      <c r="AD353">
        <v>0</v>
      </c>
      <c r="AF353">
        <v>1</v>
      </c>
      <c r="AH353">
        <v>1</v>
      </c>
    </row>
    <row r="354" spans="18:34" x14ac:dyDescent="0.25">
      <c r="R354">
        <f t="shared" si="50"/>
        <v>5</v>
      </c>
      <c r="S354">
        <v>3</v>
      </c>
      <c r="T354" t="s">
        <v>1548</v>
      </c>
      <c r="U354">
        <v>7</v>
      </c>
      <c r="V354">
        <f t="shared" si="51"/>
        <v>5</v>
      </c>
      <c r="W354" s="1">
        <f t="shared" si="49"/>
        <v>3</v>
      </c>
      <c r="X354" s="1" t="s">
        <v>1548</v>
      </c>
      <c r="Y354" s="1">
        <v>7</v>
      </c>
      <c r="AA354" t="s">
        <v>212</v>
      </c>
      <c r="AB354">
        <f>SUM(AB350:AB353)</f>
        <v>10.5</v>
      </c>
      <c r="AC354">
        <f>SUM(AC350:AC353)</f>
        <v>8.5</v>
      </c>
      <c r="AD354">
        <f>SUM(AD350:AD353)</f>
        <v>8.5</v>
      </c>
      <c r="AF354">
        <f>SUM(AF350:AF353)</f>
        <v>7.5</v>
      </c>
      <c r="AH354">
        <f>SUM(AH350:AH353)</f>
        <v>10</v>
      </c>
    </row>
    <row r="355" spans="18:34" x14ac:dyDescent="0.25">
      <c r="R355">
        <f t="shared" si="50"/>
        <v>6</v>
      </c>
      <c r="S355">
        <v>3</v>
      </c>
      <c r="T355" t="s">
        <v>1548</v>
      </c>
      <c r="U355">
        <v>7</v>
      </c>
      <c r="V355">
        <f t="shared" si="51"/>
        <v>6</v>
      </c>
      <c r="W355" s="1">
        <f t="shared" si="49"/>
        <v>3</v>
      </c>
      <c r="X355" s="1" t="s">
        <v>1549</v>
      </c>
      <c r="Y355" s="1">
        <v>10.5</v>
      </c>
      <c r="AA355" t="s">
        <v>1542</v>
      </c>
      <c r="AB355">
        <v>5</v>
      </c>
      <c r="AC355">
        <v>5</v>
      </c>
      <c r="AD355">
        <v>5</v>
      </c>
      <c r="AF355">
        <v>7</v>
      </c>
      <c r="AH355">
        <v>5</v>
      </c>
    </row>
    <row r="356" spans="18:34" x14ac:dyDescent="0.25">
      <c r="R356">
        <f t="shared" si="50"/>
        <v>7</v>
      </c>
      <c r="S356">
        <v>3</v>
      </c>
      <c r="T356" t="s">
        <v>1548</v>
      </c>
      <c r="U356">
        <v>7</v>
      </c>
      <c r="V356">
        <f t="shared" si="51"/>
        <v>7</v>
      </c>
      <c r="W356" s="1">
        <f t="shared" si="49"/>
        <v>3</v>
      </c>
      <c r="X356" s="1" t="s">
        <v>1549</v>
      </c>
      <c r="Y356" s="1">
        <v>10.5</v>
      </c>
      <c r="AA356" t="s">
        <v>68</v>
      </c>
      <c r="AB356">
        <f>AB354*AB355</f>
        <v>52.5</v>
      </c>
      <c r="AC356">
        <f>AC354*AC355</f>
        <v>42.5</v>
      </c>
      <c r="AD356">
        <f>AD354*AD355</f>
        <v>42.5</v>
      </c>
      <c r="AF356">
        <f>AF354*AF355</f>
        <v>52.5</v>
      </c>
      <c r="AH356">
        <f>AH354*AH355</f>
        <v>50</v>
      </c>
    </row>
    <row r="357" spans="18:34" x14ac:dyDescent="0.25">
      <c r="R357">
        <f t="shared" si="50"/>
        <v>8</v>
      </c>
      <c r="S357">
        <v>3</v>
      </c>
      <c r="T357" t="s">
        <v>1549</v>
      </c>
      <c r="U357">
        <v>10.5</v>
      </c>
      <c r="V357">
        <f t="shared" si="51"/>
        <v>8</v>
      </c>
      <c r="W357" s="1">
        <f t="shared" si="49"/>
        <v>3</v>
      </c>
      <c r="X357" s="1" t="s">
        <v>1549</v>
      </c>
      <c r="Y357" s="1">
        <v>10.5</v>
      </c>
      <c r="AA357" t="s">
        <v>155</v>
      </c>
      <c r="AB357">
        <v>5</v>
      </c>
      <c r="AC357">
        <v>3</v>
      </c>
      <c r="AD357">
        <v>5</v>
      </c>
      <c r="AF357">
        <v>3</v>
      </c>
      <c r="AH357">
        <v>10</v>
      </c>
    </row>
    <row r="358" spans="18:34" x14ac:dyDescent="0.25">
      <c r="R358">
        <f t="shared" si="50"/>
        <v>9</v>
      </c>
      <c r="S358">
        <v>4</v>
      </c>
      <c r="T358" t="s">
        <v>1549</v>
      </c>
      <c r="U358">
        <v>10.5</v>
      </c>
      <c r="V358">
        <f t="shared" si="51"/>
        <v>9</v>
      </c>
      <c r="W358" s="1">
        <f t="shared" si="49"/>
        <v>4</v>
      </c>
      <c r="X358" s="1" t="s">
        <v>1550</v>
      </c>
      <c r="Y358" s="1">
        <v>14</v>
      </c>
      <c r="AA358" t="s">
        <v>231</v>
      </c>
      <c r="AB358">
        <f>AB356+AB357</f>
        <v>57.5</v>
      </c>
      <c r="AC358">
        <f>AC356+AC357</f>
        <v>45.5</v>
      </c>
      <c r="AD358">
        <f>AD356+AD357</f>
        <v>47.5</v>
      </c>
      <c r="AF358">
        <f>AF356+AF357</f>
        <v>55.5</v>
      </c>
      <c r="AH358">
        <f>AH356+AH357</f>
        <v>60</v>
      </c>
    </row>
    <row r="359" spans="18:34" x14ac:dyDescent="0.25">
      <c r="R359">
        <f t="shared" si="50"/>
        <v>10</v>
      </c>
      <c r="S359">
        <v>4</v>
      </c>
      <c r="T359" t="s">
        <v>1549</v>
      </c>
      <c r="U359">
        <v>10.5</v>
      </c>
      <c r="V359">
        <f t="shared" si="51"/>
        <v>10</v>
      </c>
      <c r="W359" s="1">
        <f t="shared" si="49"/>
        <v>4</v>
      </c>
      <c r="X359" s="1" t="s">
        <v>1550</v>
      </c>
      <c r="Y359" s="1">
        <v>14</v>
      </c>
    </row>
    <row r="360" spans="18:34" x14ac:dyDescent="0.25">
      <c r="R360">
        <f t="shared" si="50"/>
        <v>11</v>
      </c>
      <c r="S360">
        <v>4</v>
      </c>
      <c r="T360" t="s">
        <v>1549</v>
      </c>
      <c r="U360">
        <v>10.5</v>
      </c>
      <c r="V360">
        <f t="shared" si="51"/>
        <v>11</v>
      </c>
      <c r="W360" s="1">
        <f t="shared" si="49"/>
        <v>4</v>
      </c>
      <c r="X360" s="1" t="s">
        <v>1550</v>
      </c>
      <c r="Y360" s="1">
        <v>14</v>
      </c>
      <c r="AA360" t="s">
        <v>1555</v>
      </c>
    </row>
    <row r="361" spans="18:34" x14ac:dyDescent="0.25">
      <c r="R361">
        <f t="shared" si="50"/>
        <v>12</v>
      </c>
      <c r="S361">
        <v>4</v>
      </c>
      <c r="T361" t="s">
        <v>1550</v>
      </c>
      <c r="U361">
        <v>14</v>
      </c>
      <c r="V361">
        <f t="shared" si="51"/>
        <v>12</v>
      </c>
      <c r="W361" s="1">
        <f t="shared" si="49"/>
        <v>4</v>
      </c>
      <c r="X361" s="1" t="s">
        <v>410</v>
      </c>
      <c r="Y361" s="1">
        <v>17.5</v>
      </c>
      <c r="AA361" t="s">
        <v>1553</v>
      </c>
      <c r="AC361" t="s">
        <v>1080</v>
      </c>
      <c r="AD361" t="s">
        <v>1545</v>
      </c>
    </row>
    <row r="362" spans="18:34" x14ac:dyDescent="0.25">
      <c r="R362">
        <f t="shared" si="50"/>
        <v>13</v>
      </c>
      <c r="S362">
        <v>5</v>
      </c>
      <c r="T362" t="s">
        <v>1550</v>
      </c>
      <c r="U362">
        <v>14</v>
      </c>
      <c r="V362">
        <f t="shared" si="51"/>
        <v>13</v>
      </c>
      <c r="W362" s="1">
        <f t="shared" si="49"/>
        <v>5</v>
      </c>
      <c r="X362" s="1" t="s">
        <v>410</v>
      </c>
      <c r="Y362" s="1">
        <v>17.5</v>
      </c>
    </row>
    <row r="363" spans="18:34" x14ac:dyDescent="0.25">
      <c r="R363">
        <f t="shared" si="50"/>
        <v>14</v>
      </c>
      <c r="S363">
        <v>5</v>
      </c>
      <c r="T363" t="s">
        <v>1550</v>
      </c>
      <c r="U363">
        <v>14</v>
      </c>
      <c r="V363">
        <f t="shared" si="51"/>
        <v>14</v>
      </c>
      <c r="W363" s="1">
        <f t="shared" si="49"/>
        <v>5</v>
      </c>
      <c r="X363" s="1" t="s">
        <v>410</v>
      </c>
      <c r="Y363" s="1">
        <v>17.5</v>
      </c>
      <c r="AA363" t="s">
        <v>1453</v>
      </c>
      <c r="AB363">
        <v>5.5</v>
      </c>
      <c r="AC363">
        <v>5.5</v>
      </c>
      <c r="AD363">
        <v>5.5</v>
      </c>
      <c r="AF363">
        <f>3.5*7</f>
        <v>24.5</v>
      </c>
    </row>
    <row r="364" spans="18:34" x14ac:dyDescent="0.25">
      <c r="R364">
        <f t="shared" si="50"/>
        <v>15</v>
      </c>
      <c r="S364">
        <v>5</v>
      </c>
      <c r="T364" t="s">
        <v>1550</v>
      </c>
      <c r="U364">
        <v>14</v>
      </c>
      <c r="V364">
        <f t="shared" si="51"/>
        <v>15</v>
      </c>
      <c r="W364" s="1">
        <f t="shared" si="49"/>
        <v>5</v>
      </c>
      <c r="X364" s="1" t="s">
        <v>412</v>
      </c>
      <c r="Y364" s="1">
        <v>21</v>
      </c>
      <c r="AA364" t="s">
        <v>232</v>
      </c>
      <c r="AB364">
        <v>2</v>
      </c>
      <c r="AC364">
        <v>2</v>
      </c>
      <c r="AD364">
        <v>2</v>
      </c>
    </row>
    <row r="365" spans="18:34" x14ac:dyDescent="0.25">
      <c r="R365">
        <f t="shared" si="50"/>
        <v>16</v>
      </c>
      <c r="S365">
        <v>5</v>
      </c>
      <c r="T365" t="s">
        <v>410</v>
      </c>
      <c r="U365">
        <v>17.5</v>
      </c>
      <c r="V365">
        <f t="shared" si="51"/>
        <v>16</v>
      </c>
      <c r="W365" s="1">
        <f t="shared" si="49"/>
        <v>5</v>
      </c>
      <c r="X365" s="1" t="s">
        <v>412</v>
      </c>
      <c r="Y365" s="1">
        <v>21</v>
      </c>
      <c r="AA365" t="s">
        <v>91</v>
      </c>
      <c r="AB365">
        <v>3</v>
      </c>
      <c r="AC365">
        <v>0</v>
      </c>
      <c r="AD365">
        <v>3</v>
      </c>
    </row>
    <row r="366" spans="18:34" x14ac:dyDescent="0.25">
      <c r="R366">
        <f t="shared" si="50"/>
        <v>17</v>
      </c>
      <c r="S366">
        <v>5</v>
      </c>
      <c r="T366" t="s">
        <v>410</v>
      </c>
      <c r="U366">
        <v>17.5</v>
      </c>
      <c r="V366">
        <f t="shared" si="51"/>
        <v>17</v>
      </c>
      <c r="W366" s="1">
        <v>6</v>
      </c>
      <c r="X366" s="1" t="s">
        <v>412</v>
      </c>
      <c r="Y366" s="1">
        <v>21</v>
      </c>
      <c r="AA366" t="s">
        <v>1543</v>
      </c>
      <c r="AB366">
        <v>0</v>
      </c>
      <c r="AC366">
        <v>1</v>
      </c>
      <c r="AD366">
        <v>0</v>
      </c>
    </row>
    <row r="367" spans="18:34" x14ac:dyDescent="0.25">
      <c r="R367">
        <f t="shared" si="50"/>
        <v>18</v>
      </c>
      <c r="S367">
        <v>5</v>
      </c>
      <c r="T367" t="s">
        <v>410</v>
      </c>
      <c r="U367">
        <v>17.5</v>
      </c>
      <c r="V367">
        <f t="shared" si="51"/>
        <v>18</v>
      </c>
      <c r="W367" s="1">
        <v>6</v>
      </c>
      <c r="X367" s="1" t="s">
        <v>1551</v>
      </c>
      <c r="Y367" s="1">
        <v>24.5</v>
      </c>
      <c r="AA367" t="s">
        <v>212</v>
      </c>
      <c r="AB367">
        <f>SUM(AB363:AB366)</f>
        <v>10.5</v>
      </c>
      <c r="AC367">
        <f>SUM(AC363:AC366)</f>
        <v>8.5</v>
      </c>
      <c r="AD367">
        <f>SUM(AD363:AD366)</f>
        <v>10.5</v>
      </c>
    </row>
    <row r="368" spans="18:34" x14ac:dyDescent="0.25">
      <c r="R368">
        <f t="shared" si="50"/>
        <v>19</v>
      </c>
      <c r="S368">
        <v>5</v>
      </c>
      <c r="T368" t="s">
        <v>410</v>
      </c>
      <c r="U368">
        <v>17.5</v>
      </c>
      <c r="V368">
        <f t="shared" si="51"/>
        <v>19</v>
      </c>
      <c r="W368" s="1">
        <v>6</v>
      </c>
      <c r="X368" s="1" t="s">
        <v>1551</v>
      </c>
      <c r="Y368" s="1">
        <v>24.5</v>
      </c>
      <c r="AA368" t="s">
        <v>1547</v>
      </c>
      <c r="AB368">
        <v>14</v>
      </c>
      <c r="AC368">
        <v>17.5</v>
      </c>
      <c r="AD368">
        <v>10.5</v>
      </c>
    </row>
    <row r="369" spans="18:34" x14ac:dyDescent="0.25">
      <c r="R369">
        <f t="shared" si="50"/>
        <v>20</v>
      </c>
      <c r="S369">
        <v>5</v>
      </c>
      <c r="T369" t="s">
        <v>412</v>
      </c>
      <c r="U369">
        <v>21</v>
      </c>
      <c r="V369">
        <f t="shared" si="51"/>
        <v>20</v>
      </c>
      <c r="W369" s="1">
        <v>6</v>
      </c>
      <c r="X369" s="1" t="s">
        <v>1551</v>
      </c>
      <c r="Y369" s="1">
        <v>24.5</v>
      </c>
      <c r="AA369" t="s">
        <v>155</v>
      </c>
      <c r="AB369">
        <v>5</v>
      </c>
      <c r="AC369">
        <v>0</v>
      </c>
      <c r="AD369">
        <v>5</v>
      </c>
    </row>
    <row r="370" spans="18:34" x14ac:dyDescent="0.25">
      <c r="R370">
        <f t="shared" si="50"/>
        <v>21</v>
      </c>
      <c r="S370">
        <v>5</v>
      </c>
      <c r="T370" t="s">
        <v>412</v>
      </c>
      <c r="U370">
        <v>21</v>
      </c>
      <c r="V370">
        <f t="shared" si="51"/>
        <v>21</v>
      </c>
      <c r="W370" s="1">
        <v>7</v>
      </c>
      <c r="X370" s="1" t="s">
        <v>1552</v>
      </c>
      <c r="Y370" s="1">
        <v>28</v>
      </c>
      <c r="AA370" t="s">
        <v>231</v>
      </c>
      <c r="AB370">
        <f>AB367+AB368+AB369</f>
        <v>29.5</v>
      </c>
      <c r="AC370">
        <f>AC367+AC368+AC369</f>
        <v>26</v>
      </c>
      <c r="AD370">
        <f>AD367+AD368+AD369</f>
        <v>26</v>
      </c>
    </row>
    <row r="373" spans="18:34" x14ac:dyDescent="0.25">
      <c r="Y373" t="s">
        <v>1556</v>
      </c>
    </row>
    <row r="374" spans="18:34" x14ac:dyDescent="0.25">
      <c r="Y374" t="s">
        <v>1557</v>
      </c>
      <c r="AD374" t="s">
        <v>212</v>
      </c>
      <c r="AE374">
        <v>1</v>
      </c>
    </row>
    <row r="375" spans="18:34" x14ac:dyDescent="0.25">
      <c r="Y375" t="s">
        <v>1553</v>
      </c>
      <c r="AD375" t="s">
        <v>634</v>
      </c>
      <c r="AE375">
        <v>-3</v>
      </c>
    </row>
    <row r="376" spans="18:34" x14ac:dyDescent="0.25">
      <c r="Y376" t="s">
        <v>797</v>
      </c>
      <c r="AD376" t="s">
        <v>1453</v>
      </c>
      <c r="AE376">
        <v>-3</v>
      </c>
    </row>
    <row r="377" spans="18:34" x14ac:dyDescent="0.25">
      <c r="AD377" t="s">
        <v>824</v>
      </c>
      <c r="AE377">
        <v>-2</v>
      </c>
    </row>
    <row r="378" spans="18:34" x14ac:dyDescent="0.25">
      <c r="AD378" t="s">
        <v>818</v>
      </c>
      <c r="AE378">
        <v>5</v>
      </c>
    </row>
    <row r="382" spans="18:34" x14ac:dyDescent="0.25">
      <c r="Y382">
        <v>13</v>
      </c>
      <c r="Z382" t="s">
        <v>212</v>
      </c>
      <c r="AA382">
        <f>11</f>
        <v>11</v>
      </c>
      <c r="AB382">
        <v>9</v>
      </c>
      <c r="AC382">
        <v>13</v>
      </c>
      <c r="AH382">
        <f>10+3+3+5</f>
        <v>21</v>
      </c>
    </row>
    <row r="383" spans="18:34" x14ac:dyDescent="0.25">
      <c r="Y383">
        <v>-2</v>
      </c>
      <c r="Z383" t="s">
        <v>1453</v>
      </c>
      <c r="AA383">
        <v>-2</v>
      </c>
      <c r="AB383">
        <v>-4</v>
      </c>
      <c r="AC383">
        <v>-2</v>
      </c>
      <c r="AH383">
        <v>5</v>
      </c>
    </row>
    <row r="384" spans="18:34" x14ac:dyDescent="0.25">
      <c r="Y384">
        <v>-4</v>
      </c>
      <c r="Z384" t="s">
        <v>155</v>
      </c>
      <c r="AA384">
        <v>-4</v>
      </c>
      <c r="AB384">
        <v>-5</v>
      </c>
      <c r="AC384">
        <v>-4</v>
      </c>
      <c r="AE384">
        <f>SUM(AE374:AE383)</f>
        <v>-2</v>
      </c>
      <c r="AH384">
        <v>12</v>
      </c>
    </row>
    <row r="385" spans="17:38" x14ac:dyDescent="0.25">
      <c r="R385">
        <f>4.5+2+4.5+2</f>
        <v>13</v>
      </c>
      <c r="S385">
        <f>R385*(7*5+4*7)</f>
        <v>819</v>
      </c>
      <c r="T385" t="s">
        <v>1566</v>
      </c>
      <c r="U385">
        <f>4.5+2+4.5+2</f>
        <v>13</v>
      </c>
      <c r="V385">
        <f>U385*(7*5+4*7)</f>
        <v>819</v>
      </c>
      <c r="Y385">
        <v>-1</v>
      </c>
      <c r="Z385" t="s">
        <v>827</v>
      </c>
      <c r="AA385">
        <v>-1</v>
      </c>
      <c r="AB385">
        <v>-1</v>
      </c>
      <c r="AC385">
        <v>-3</v>
      </c>
      <c r="AH385">
        <f>AH382*AH383+AH384</f>
        <v>117</v>
      </c>
      <c r="AI385">
        <f>AH385*2</f>
        <v>234</v>
      </c>
    </row>
    <row r="386" spans="17:38" x14ac:dyDescent="0.25">
      <c r="R386">
        <v>2</v>
      </c>
      <c r="S386">
        <f>(7*5+4*7)</f>
        <v>63</v>
      </c>
      <c r="T386" t="s">
        <v>509</v>
      </c>
      <c r="U386">
        <v>4</v>
      </c>
      <c r="V386">
        <f>(7*5+4*7)</f>
        <v>63</v>
      </c>
      <c r="Y386">
        <v>4</v>
      </c>
      <c r="Z386" t="s">
        <v>834</v>
      </c>
      <c r="AA386">
        <v>4</v>
      </c>
      <c r="AB386">
        <v>4</v>
      </c>
      <c r="AC386">
        <v>4</v>
      </c>
    </row>
    <row r="387" spans="17:38" x14ac:dyDescent="0.25">
      <c r="R387">
        <f>R385*R386</f>
        <v>26</v>
      </c>
      <c r="S387">
        <f>S386/R386</f>
        <v>31.5</v>
      </c>
      <c r="T387" t="s">
        <v>663</v>
      </c>
      <c r="U387">
        <f>U385*U386</f>
        <v>52</v>
      </c>
      <c r="V387">
        <f>V386/U386</f>
        <v>15.75</v>
      </c>
      <c r="Y387">
        <v>-4</v>
      </c>
      <c r="Z387" t="s">
        <v>1544</v>
      </c>
      <c r="AA387">
        <v>-4</v>
      </c>
      <c r="AB387">
        <v>-4</v>
      </c>
      <c r="AC387">
        <v>-4</v>
      </c>
    </row>
    <row r="388" spans="17:38" x14ac:dyDescent="0.25">
      <c r="R388">
        <v>10</v>
      </c>
      <c r="S388">
        <f>R386*R388</f>
        <v>20</v>
      </c>
      <c r="T388" t="s">
        <v>796</v>
      </c>
      <c r="U388">
        <f>V387</f>
        <v>15.75</v>
      </c>
      <c r="V388">
        <f>U386*U388</f>
        <v>63</v>
      </c>
      <c r="Y388">
        <v>-1</v>
      </c>
      <c r="Z388" t="s">
        <v>1192</v>
      </c>
      <c r="AA388">
        <v>-1</v>
      </c>
      <c r="AB388">
        <v>-1</v>
      </c>
      <c r="AC388">
        <v>-1</v>
      </c>
      <c r="AE388" t="s">
        <v>212</v>
      </c>
      <c r="AF388">
        <f>4.5+4+3</f>
        <v>11.5</v>
      </c>
      <c r="AG388">
        <f>40+3+2</f>
        <v>45</v>
      </c>
      <c r="AH388">
        <f>10+3+3+5</f>
        <v>21</v>
      </c>
      <c r="AK388">
        <f>10+3+3+5</f>
        <v>21</v>
      </c>
    </row>
    <row r="389" spans="17:38" x14ac:dyDescent="0.25">
      <c r="R389">
        <f>R387*R388+0</f>
        <v>260</v>
      </c>
      <c r="T389" t="s">
        <v>231</v>
      </c>
      <c r="U389">
        <f>U387*U388+0</f>
        <v>819</v>
      </c>
      <c r="AE389" t="s">
        <v>1542</v>
      </c>
      <c r="AF389">
        <v>5</v>
      </c>
      <c r="AG389">
        <v>5</v>
      </c>
      <c r="AH389">
        <v>5</v>
      </c>
      <c r="AK389">
        <v>5</v>
      </c>
    </row>
    <row r="390" spans="17:38" x14ac:dyDescent="0.25">
      <c r="R390">
        <f>R389*0.5</f>
        <v>130</v>
      </c>
      <c r="U390">
        <f>U389*0.5</f>
        <v>409.5</v>
      </c>
      <c r="AE390" t="s">
        <v>155</v>
      </c>
      <c r="AF390">
        <v>7</v>
      </c>
      <c r="AG390">
        <v>12</v>
      </c>
      <c r="AH390">
        <v>10</v>
      </c>
      <c r="AK390">
        <v>3</v>
      </c>
    </row>
    <row r="391" spans="17:38" x14ac:dyDescent="0.25">
      <c r="AA391">
        <f>SUM(AA381:AA390)</f>
        <v>3</v>
      </c>
      <c r="AB391">
        <f>SUM(AB381:AB390)</f>
        <v>-2</v>
      </c>
      <c r="AC391">
        <f>SUM(AC381:AC390)</f>
        <v>3</v>
      </c>
      <c r="AE391" t="s">
        <v>231</v>
      </c>
      <c r="AF391">
        <f>AF388*AF389+AF390</f>
        <v>64.5</v>
      </c>
      <c r="AG391">
        <f>AG388*AG389+AG390</f>
        <v>237</v>
      </c>
      <c r="AH391">
        <f>AH388*AH389+AH390</f>
        <v>115</v>
      </c>
      <c r="AI391">
        <f>AH391*2</f>
        <v>230</v>
      </c>
      <c r="AK391">
        <f>AK388*AK389+AK390</f>
        <v>108</v>
      </c>
      <c r="AL391">
        <f>AK391*2</f>
        <v>216</v>
      </c>
    </row>
    <row r="392" spans="17:38" x14ac:dyDescent="0.25">
      <c r="Q392" t="s">
        <v>1566</v>
      </c>
      <c r="R392">
        <f>4.5+2+4.5+2</f>
        <v>13</v>
      </c>
      <c r="AG392">
        <f>AG391*2</f>
        <v>474</v>
      </c>
      <c r="AH392">
        <f>AH391*8</f>
        <v>920</v>
      </c>
    </row>
    <row r="393" spans="17:38" x14ac:dyDescent="0.25">
      <c r="Q393" t="s">
        <v>509</v>
      </c>
      <c r="R393">
        <v>2</v>
      </c>
      <c r="AH393">
        <f>AH392-80</f>
        <v>840</v>
      </c>
      <c r="AK393">
        <f>(24)*3+12</f>
        <v>84</v>
      </c>
    </row>
    <row r="394" spans="17:38" x14ac:dyDescent="0.25">
      <c r="Q394" t="s">
        <v>663</v>
      </c>
      <c r="R394">
        <f>R392*R393</f>
        <v>26</v>
      </c>
      <c r="AH394">
        <f>AH393/3</f>
        <v>280</v>
      </c>
    </row>
    <row r="395" spans="17:38" x14ac:dyDescent="0.25">
      <c r="Q395" t="s">
        <v>796</v>
      </c>
      <c r="R395">
        <v>10</v>
      </c>
      <c r="T395" t="s">
        <v>1571</v>
      </c>
      <c r="V395" t="s">
        <v>31</v>
      </c>
      <c r="W395" t="s">
        <v>1567</v>
      </c>
      <c r="Y395" t="s">
        <v>1575</v>
      </c>
    </row>
    <row r="396" spans="17:38" x14ac:dyDescent="0.25">
      <c r="Q396" t="s">
        <v>231</v>
      </c>
      <c r="R396">
        <f>R394*R395</f>
        <v>260</v>
      </c>
      <c r="T396" t="s">
        <v>992</v>
      </c>
      <c r="V396" t="s">
        <v>512</v>
      </c>
      <c r="W396" t="s">
        <v>1568</v>
      </c>
      <c r="Y396" t="s">
        <v>1570</v>
      </c>
    </row>
    <row r="397" spans="17:38" x14ac:dyDescent="0.25">
      <c r="T397" t="s">
        <v>989</v>
      </c>
      <c r="V397" t="s">
        <v>617</v>
      </c>
      <c r="W397" t="s">
        <v>1569</v>
      </c>
      <c r="Y397" t="s">
        <v>1573</v>
      </c>
    </row>
    <row r="398" spans="17:38" x14ac:dyDescent="0.25">
      <c r="T398" t="s">
        <v>1572</v>
      </c>
      <c r="V398" t="s">
        <v>618</v>
      </c>
      <c r="W398" t="s">
        <v>1569</v>
      </c>
      <c r="Y398" t="s">
        <v>1574</v>
      </c>
    </row>
    <row r="400" spans="17:38" x14ac:dyDescent="0.25">
      <c r="T400" t="s">
        <v>992</v>
      </c>
    </row>
    <row r="401" spans="16:34" x14ac:dyDescent="0.25">
      <c r="T401" t="s">
        <v>1572</v>
      </c>
      <c r="AC401" t="s">
        <v>1586</v>
      </c>
    </row>
    <row r="402" spans="16:34" x14ac:dyDescent="0.25">
      <c r="Y402" t="s">
        <v>1151</v>
      </c>
      <c r="Z402" t="s">
        <v>1601</v>
      </c>
      <c r="AC402" t="s">
        <v>1320</v>
      </c>
    </row>
    <row r="403" spans="16:34" x14ac:dyDescent="0.25">
      <c r="X403" t="s">
        <v>212</v>
      </c>
      <c r="Y403">
        <f>2.5+2</f>
        <v>4.5</v>
      </c>
      <c r="Z403">
        <f>3.5+10</f>
        <v>13.5</v>
      </c>
      <c r="AC403">
        <f>45*3+80</f>
        <v>215</v>
      </c>
    </row>
    <row r="404" spans="16:34" x14ac:dyDescent="0.25">
      <c r="X404" t="s">
        <v>1599</v>
      </c>
      <c r="Y404">
        <v>4</v>
      </c>
      <c r="Z404">
        <v>0</v>
      </c>
    </row>
    <row r="405" spans="16:34" x14ac:dyDescent="0.25">
      <c r="P405" t="s">
        <v>212</v>
      </c>
      <c r="Q405">
        <v>1</v>
      </c>
      <c r="R405">
        <v>1</v>
      </c>
      <c r="X405" t="s">
        <v>155</v>
      </c>
      <c r="Y405">
        <v>9</v>
      </c>
      <c r="Z405">
        <v>9</v>
      </c>
    </row>
    <row r="406" spans="16:34" x14ac:dyDescent="0.25">
      <c r="P406" t="s">
        <v>1078</v>
      </c>
      <c r="Q406">
        <v>0.5</v>
      </c>
      <c r="X406" t="s">
        <v>1600</v>
      </c>
      <c r="Y406">
        <v>2</v>
      </c>
      <c r="Z406">
        <v>2</v>
      </c>
      <c r="AB406">
        <f>762*3+80</f>
        <v>2366</v>
      </c>
    </row>
    <row r="407" spans="16:34" x14ac:dyDescent="0.25">
      <c r="P407" t="s">
        <v>117</v>
      </c>
      <c r="Q407">
        <v>1</v>
      </c>
      <c r="R407">
        <v>1</v>
      </c>
    </row>
    <row r="408" spans="16:34" x14ac:dyDescent="0.25">
      <c r="P408" t="s">
        <v>75</v>
      </c>
      <c r="R408">
        <v>1</v>
      </c>
      <c r="AB408">
        <f>4.5+4+2+7.5</f>
        <v>18</v>
      </c>
    </row>
    <row r="409" spans="16:34" x14ac:dyDescent="0.25">
      <c r="Y409">
        <f>SUM(Y403:Y408)</f>
        <v>19.5</v>
      </c>
      <c r="Z409">
        <f>SUM(Z403:Z408)</f>
        <v>24.5</v>
      </c>
      <c r="AB409">
        <f>5.5+3+9</f>
        <v>17.5</v>
      </c>
    </row>
    <row r="410" spans="16:34" x14ac:dyDescent="0.25">
      <c r="Q410">
        <f>SUM(Q405:Q409)</f>
        <v>2.5</v>
      </c>
      <c r="R410">
        <f>SUM(R405:R409)</f>
        <v>3</v>
      </c>
    </row>
    <row r="411" spans="16:34" x14ac:dyDescent="0.25">
      <c r="Q411">
        <f>Q410*2</f>
        <v>5</v>
      </c>
      <c r="AF411">
        <f>552*3+80</f>
        <v>1736</v>
      </c>
    </row>
    <row r="413" spans="16:34" x14ac:dyDescent="0.25">
      <c r="V413" t="s">
        <v>1609</v>
      </c>
      <c r="AA413" t="s">
        <v>1602</v>
      </c>
      <c r="AF413">
        <f>95*3+80</f>
        <v>365</v>
      </c>
      <c r="AG413">
        <f>5.5+1+3+5+4</f>
        <v>18.5</v>
      </c>
      <c r="AH413">
        <f>AF413/AG413</f>
        <v>19.72972972972973</v>
      </c>
    </row>
    <row r="414" spans="16:34" x14ac:dyDescent="0.25">
      <c r="AF414">
        <f>92*3+80</f>
        <v>356</v>
      </c>
    </row>
    <row r="415" spans="16:34" x14ac:dyDescent="0.25">
      <c r="U415" t="s">
        <v>1325</v>
      </c>
      <c r="V415" t="s">
        <v>1603</v>
      </c>
      <c r="W415" t="s">
        <v>1604</v>
      </c>
      <c r="Z415" t="s">
        <v>1325</v>
      </c>
      <c r="AA415" t="s">
        <v>1603</v>
      </c>
      <c r="AB415" t="s">
        <v>1604</v>
      </c>
    </row>
    <row r="416" spans="16:34" x14ac:dyDescent="0.25">
      <c r="U416">
        <v>1</v>
      </c>
      <c r="V416">
        <v>1</v>
      </c>
      <c r="W416">
        <v>1</v>
      </c>
      <c r="Z416">
        <v>1</v>
      </c>
      <c r="AA416" t="s">
        <v>1611</v>
      </c>
      <c r="AB416" t="s">
        <v>1605</v>
      </c>
    </row>
    <row r="417" spans="17:41" x14ac:dyDescent="0.25">
      <c r="U417">
        <v>6</v>
      </c>
      <c r="V417">
        <v>2</v>
      </c>
      <c r="W417">
        <v>2</v>
      </c>
      <c r="Z417">
        <v>11</v>
      </c>
      <c r="AA417" t="s">
        <v>1612</v>
      </c>
      <c r="AB417" t="s">
        <v>1606</v>
      </c>
    </row>
    <row r="418" spans="17:41" x14ac:dyDescent="0.25">
      <c r="U418">
        <v>11</v>
      </c>
      <c r="V418">
        <v>3</v>
      </c>
      <c r="W418">
        <v>3</v>
      </c>
      <c r="Z418">
        <v>16</v>
      </c>
      <c r="AA418" t="s">
        <v>1613</v>
      </c>
      <c r="AB418" t="s">
        <v>1607</v>
      </c>
    </row>
    <row r="419" spans="17:41" x14ac:dyDescent="0.25">
      <c r="R419">
        <f>0.65^S419</f>
        <v>1</v>
      </c>
      <c r="U419">
        <v>16</v>
      </c>
      <c r="V419">
        <v>4</v>
      </c>
      <c r="W419">
        <v>4</v>
      </c>
      <c r="Z419">
        <v>21</v>
      </c>
      <c r="AA419" t="s">
        <v>1614</v>
      </c>
      <c r="AB419" t="s">
        <v>1608</v>
      </c>
    </row>
    <row r="420" spans="17:41" x14ac:dyDescent="0.25">
      <c r="U420">
        <v>21</v>
      </c>
      <c r="V420">
        <v>5</v>
      </c>
      <c r="W420">
        <v>5</v>
      </c>
      <c r="AM420" t="s">
        <v>2137</v>
      </c>
    </row>
    <row r="421" spans="17:41" x14ac:dyDescent="0.25">
      <c r="Q421">
        <f>7/20</f>
        <v>0.35</v>
      </c>
      <c r="U421">
        <v>26</v>
      </c>
      <c r="V421">
        <v>6</v>
      </c>
      <c r="W421">
        <v>6</v>
      </c>
      <c r="Z421" t="s">
        <v>1325</v>
      </c>
      <c r="AA421" t="s">
        <v>1603</v>
      </c>
      <c r="AB421" t="s">
        <v>1604</v>
      </c>
      <c r="AE421">
        <f>21*5</f>
        <v>105</v>
      </c>
      <c r="AK421" t="s">
        <v>1231</v>
      </c>
    </row>
    <row r="422" spans="17:41" x14ac:dyDescent="0.25">
      <c r="Z422">
        <v>1</v>
      </c>
      <c r="AA422">
        <f>4.5*3+5</f>
        <v>18.5</v>
      </c>
      <c r="AB422">
        <f>4.5*2+5</f>
        <v>14</v>
      </c>
      <c r="AK422" t="s">
        <v>938</v>
      </c>
      <c r="AM422" t="s">
        <v>738</v>
      </c>
    </row>
    <row r="423" spans="17:41" x14ac:dyDescent="0.25">
      <c r="Z423">
        <v>11</v>
      </c>
      <c r="AA423">
        <f>4.5*4+5</f>
        <v>23</v>
      </c>
      <c r="AB423">
        <f>4.5*2+5+3.5*2*3</f>
        <v>35</v>
      </c>
      <c r="AK423" t="s">
        <v>749</v>
      </c>
      <c r="AM423" t="s">
        <v>2138</v>
      </c>
    </row>
    <row r="424" spans="17:41" x14ac:dyDescent="0.25">
      <c r="Z424">
        <v>16</v>
      </c>
      <c r="AA424">
        <v>0</v>
      </c>
      <c r="AB424">
        <f>4.5*3+5+4.5*4+2</f>
        <v>38.5</v>
      </c>
      <c r="AD424">
        <f>1800/6</f>
        <v>300</v>
      </c>
      <c r="AH424">
        <f>35*5</f>
        <v>175</v>
      </c>
      <c r="AK424" t="s">
        <v>847</v>
      </c>
      <c r="AM424" t="s">
        <v>2139</v>
      </c>
    </row>
    <row r="425" spans="17:41" x14ac:dyDescent="0.25">
      <c r="V425" t="s">
        <v>1610</v>
      </c>
      <c r="Z425">
        <v>21</v>
      </c>
      <c r="AA425">
        <v>0</v>
      </c>
      <c r="AB425">
        <f>4.5*3+5+20</f>
        <v>38.5</v>
      </c>
      <c r="AH425">
        <f>(4.5*3+5)*5</f>
        <v>92.5</v>
      </c>
      <c r="AK425" t="s">
        <v>2136</v>
      </c>
      <c r="AM425" t="s">
        <v>2140</v>
      </c>
    </row>
    <row r="426" spans="17:41" x14ac:dyDescent="0.25">
      <c r="AH426">
        <f>(20)*5</f>
        <v>100</v>
      </c>
      <c r="AK426" t="s">
        <v>2141</v>
      </c>
    </row>
    <row r="427" spans="17:41" x14ac:dyDescent="0.25">
      <c r="U427" t="s">
        <v>1325</v>
      </c>
      <c r="V427" t="s">
        <v>1603</v>
      </c>
      <c r="W427" t="s">
        <v>1604</v>
      </c>
      <c r="X427" t="s">
        <v>231</v>
      </c>
      <c r="Z427" t="s">
        <v>1325</v>
      </c>
      <c r="AA427" t="s">
        <v>1603</v>
      </c>
      <c r="AB427" t="s">
        <v>1604</v>
      </c>
    </row>
    <row r="428" spans="17:41" x14ac:dyDescent="0.25">
      <c r="U428">
        <v>1</v>
      </c>
      <c r="V428">
        <f>V416*AA428</f>
        <v>18.5</v>
      </c>
      <c r="W428">
        <f>W416*AB428</f>
        <v>14</v>
      </c>
      <c r="X428">
        <f t="shared" ref="X428:X433" si="52">SUM(V428:W428)</f>
        <v>32.5</v>
      </c>
      <c r="Z428">
        <v>1</v>
      </c>
      <c r="AA428">
        <f>4.5*3+5</f>
        <v>18.5</v>
      </c>
      <c r="AB428">
        <f>4.5*2+5</f>
        <v>14</v>
      </c>
      <c r="AC428">
        <f t="shared" ref="AC428:AD433" si="53">AA428*6</f>
        <v>111</v>
      </c>
      <c r="AD428">
        <f t="shared" si="53"/>
        <v>84</v>
      </c>
    </row>
    <row r="429" spans="17:41" x14ac:dyDescent="0.25">
      <c r="U429">
        <v>6</v>
      </c>
      <c r="V429">
        <f t="shared" ref="V429:W433" si="54">V417*AA429</f>
        <v>37</v>
      </c>
      <c r="W429">
        <f>W417*AB429</f>
        <v>28</v>
      </c>
      <c r="X429">
        <f t="shared" si="52"/>
        <v>65</v>
      </c>
      <c r="Z429">
        <v>6</v>
      </c>
      <c r="AA429">
        <f>AA428</f>
        <v>18.5</v>
      </c>
      <c r="AB429">
        <f>AB428</f>
        <v>14</v>
      </c>
      <c r="AC429">
        <f t="shared" si="53"/>
        <v>111</v>
      </c>
      <c r="AD429">
        <f t="shared" si="53"/>
        <v>84</v>
      </c>
      <c r="AE429" t="s">
        <v>1615</v>
      </c>
      <c r="AM429">
        <f>70*0.25</f>
        <v>17.5</v>
      </c>
      <c r="AN429">
        <v>5</v>
      </c>
      <c r="AO429">
        <f>AM429*AN429</f>
        <v>87.5</v>
      </c>
    </row>
    <row r="430" spans="17:41" x14ac:dyDescent="0.25">
      <c r="U430">
        <v>11</v>
      </c>
      <c r="V430">
        <f t="shared" si="54"/>
        <v>69</v>
      </c>
      <c r="W430">
        <f t="shared" si="54"/>
        <v>105</v>
      </c>
      <c r="X430">
        <f t="shared" si="52"/>
        <v>174</v>
      </c>
      <c r="Z430">
        <v>11</v>
      </c>
      <c r="AA430">
        <f>4.5*4+5</f>
        <v>23</v>
      </c>
      <c r="AB430">
        <f>4.5*2+5+3.5*2*3</f>
        <v>35</v>
      </c>
      <c r="AC430">
        <f t="shared" si="53"/>
        <v>138</v>
      </c>
      <c r="AD430">
        <f t="shared" si="53"/>
        <v>210</v>
      </c>
      <c r="AE430">
        <f>15*3.5*7/2</f>
        <v>183.75</v>
      </c>
      <c r="AM430">
        <f>35*0.5</f>
        <v>17.5</v>
      </c>
      <c r="AN430">
        <v>5</v>
      </c>
      <c r="AO430">
        <f>AM430*AN430</f>
        <v>87.5</v>
      </c>
    </row>
    <row r="431" spans="17:41" x14ac:dyDescent="0.25">
      <c r="U431">
        <v>16</v>
      </c>
      <c r="V431">
        <f t="shared" si="54"/>
        <v>0</v>
      </c>
      <c r="W431">
        <f t="shared" si="54"/>
        <v>154</v>
      </c>
      <c r="X431">
        <f t="shared" si="52"/>
        <v>154</v>
      </c>
      <c r="Z431">
        <v>16</v>
      </c>
      <c r="AA431">
        <v>0</v>
      </c>
      <c r="AB431">
        <f>4.5*3+5+4.5*4+2</f>
        <v>38.5</v>
      </c>
      <c r="AC431">
        <f t="shared" si="53"/>
        <v>0</v>
      </c>
      <c r="AD431">
        <f t="shared" si="53"/>
        <v>231</v>
      </c>
    </row>
    <row r="432" spans="17:41" x14ac:dyDescent="0.25">
      <c r="U432">
        <v>21</v>
      </c>
      <c r="V432">
        <f t="shared" si="54"/>
        <v>0</v>
      </c>
      <c r="W432">
        <f t="shared" si="54"/>
        <v>192.5</v>
      </c>
      <c r="X432">
        <f t="shared" si="52"/>
        <v>192.5</v>
      </c>
      <c r="Z432">
        <v>21</v>
      </c>
      <c r="AA432">
        <v>0</v>
      </c>
      <c r="AB432">
        <f>4.5*3+5+20</f>
        <v>38.5</v>
      </c>
      <c r="AC432">
        <f t="shared" si="53"/>
        <v>0</v>
      </c>
      <c r="AD432">
        <f t="shared" si="53"/>
        <v>231</v>
      </c>
    </row>
    <row r="433" spans="17:43" x14ac:dyDescent="0.25">
      <c r="U433">
        <v>26</v>
      </c>
      <c r="V433">
        <f t="shared" si="54"/>
        <v>0</v>
      </c>
      <c r="W433">
        <f>W421*AB433</f>
        <v>231</v>
      </c>
      <c r="X433">
        <f t="shared" si="52"/>
        <v>231</v>
      </c>
      <c r="Z433">
        <v>26</v>
      </c>
      <c r="AA433">
        <v>0</v>
      </c>
      <c r="AB433">
        <f>AB432</f>
        <v>38.5</v>
      </c>
      <c r="AC433">
        <f t="shared" si="53"/>
        <v>0</v>
      </c>
      <c r="AD433">
        <f t="shared" si="53"/>
        <v>231</v>
      </c>
      <c r="AO433">
        <f>500-AO430</f>
        <v>412.5</v>
      </c>
    </row>
    <row r="434" spans="17:43" x14ac:dyDescent="0.25">
      <c r="AO434">
        <f>AO433/AM430</f>
        <v>23.571428571428573</v>
      </c>
    </row>
    <row r="435" spans="17:43" x14ac:dyDescent="0.25">
      <c r="V435" t="s">
        <v>1292</v>
      </c>
      <c r="X435" t="s">
        <v>577</v>
      </c>
      <c r="Z435" t="s">
        <v>1619</v>
      </c>
      <c r="AB435" t="s">
        <v>1637</v>
      </c>
      <c r="AD435" t="s">
        <v>100</v>
      </c>
      <c r="AI435">
        <f>1-3-4-1-8</f>
        <v>-15</v>
      </c>
      <c r="AK435">
        <f>4-4-4-3</f>
        <v>-7</v>
      </c>
      <c r="AO435">
        <f>14-36</f>
        <v>-22</v>
      </c>
      <c r="AQ435">
        <f>23*AM430</f>
        <v>402.5</v>
      </c>
    </row>
    <row r="436" spans="17:43" x14ac:dyDescent="0.25">
      <c r="Q436" t="s">
        <v>212</v>
      </c>
      <c r="R436">
        <v>3.5</v>
      </c>
      <c r="S436">
        <v>2</v>
      </c>
      <c r="V436" t="s">
        <v>1287</v>
      </c>
      <c r="X436" t="s">
        <v>577</v>
      </c>
      <c r="Z436" t="s">
        <v>1212</v>
      </c>
      <c r="AB436" t="s">
        <v>1638</v>
      </c>
      <c r="AD436" t="s">
        <v>552</v>
      </c>
      <c r="AK436">
        <f>2-4-4-4-3</f>
        <v>-13</v>
      </c>
      <c r="AO436">
        <f>17-41</f>
        <v>-24</v>
      </c>
    </row>
    <row r="437" spans="17:43" x14ac:dyDescent="0.25">
      <c r="Q437" t="s">
        <v>1805</v>
      </c>
      <c r="R437">
        <v>1</v>
      </c>
      <c r="S437">
        <v>3</v>
      </c>
      <c r="V437" t="s">
        <v>1287</v>
      </c>
      <c r="X437" t="s">
        <v>1292</v>
      </c>
      <c r="Z437" t="s">
        <v>1292</v>
      </c>
      <c r="AB437" t="s">
        <v>1639</v>
      </c>
      <c r="AD437" t="s">
        <v>1287</v>
      </c>
      <c r="AI437">
        <f>1-4-1-1-3-1-8-2-3</f>
        <v>-22</v>
      </c>
    </row>
    <row r="438" spans="17:43" x14ac:dyDescent="0.25">
      <c r="Q438" t="s">
        <v>827</v>
      </c>
      <c r="R438">
        <v>5</v>
      </c>
      <c r="S438">
        <v>5</v>
      </c>
      <c r="V438" t="s">
        <v>580</v>
      </c>
      <c r="X438" t="s">
        <v>1292</v>
      </c>
      <c r="Z438" t="s">
        <v>1287</v>
      </c>
      <c r="AB438" t="s">
        <v>1640</v>
      </c>
      <c r="AD438" t="s">
        <v>1287</v>
      </c>
      <c r="AH438">
        <f>2+3+8</f>
        <v>13</v>
      </c>
      <c r="AM438">
        <v>1</v>
      </c>
      <c r="AN438" t="s">
        <v>2142</v>
      </c>
    </row>
    <row r="439" spans="17:43" x14ac:dyDescent="0.25">
      <c r="Q439" t="s">
        <v>818</v>
      </c>
      <c r="R439">
        <v>4</v>
      </c>
      <c r="S439">
        <v>4</v>
      </c>
      <c r="V439" t="s">
        <v>1616</v>
      </c>
      <c r="X439" t="s">
        <v>1287</v>
      </c>
      <c r="Z439" t="s">
        <v>1287</v>
      </c>
      <c r="AB439" t="s">
        <v>1641</v>
      </c>
      <c r="AD439" t="s">
        <v>1292</v>
      </c>
      <c r="AM439">
        <v>2</v>
      </c>
      <c r="AN439" t="s">
        <v>2143</v>
      </c>
      <c r="AQ439">
        <v>10</v>
      </c>
    </row>
    <row r="440" spans="17:43" x14ac:dyDescent="0.25">
      <c r="Q440" t="s">
        <v>637</v>
      </c>
      <c r="R440">
        <v>8</v>
      </c>
      <c r="S440">
        <v>8</v>
      </c>
      <c r="V440" t="s">
        <v>1617</v>
      </c>
      <c r="X440" t="s">
        <v>1287</v>
      </c>
      <c r="AB440" t="s">
        <v>920</v>
      </c>
      <c r="AM440">
        <v>3</v>
      </c>
      <c r="AN440" t="s">
        <v>1477</v>
      </c>
      <c r="AP440" t="s">
        <v>2147</v>
      </c>
      <c r="AQ440">
        <v>-1</v>
      </c>
    </row>
    <row r="441" spans="17:43" x14ac:dyDescent="0.25">
      <c r="Z441" t="s">
        <v>1618</v>
      </c>
      <c r="AB441" t="s">
        <v>917</v>
      </c>
      <c r="AE441">
        <f>(5.5*9+4*9)+(2*6)</f>
        <v>97.5</v>
      </c>
      <c r="AF441">
        <v>27</v>
      </c>
      <c r="AJ441" t="s">
        <v>1643</v>
      </c>
      <c r="AM441">
        <v>4</v>
      </c>
      <c r="AN441" t="s">
        <v>1476</v>
      </c>
      <c r="AP441" t="s">
        <v>1225</v>
      </c>
      <c r="AQ441">
        <v>-1</v>
      </c>
    </row>
    <row r="442" spans="17:43" x14ac:dyDescent="0.25">
      <c r="AB442" t="s">
        <v>834</v>
      </c>
      <c r="AE442">
        <f>AE441*(1/0.3)</f>
        <v>325</v>
      </c>
      <c r="AF442">
        <f>AF441*(1/0.3)</f>
        <v>90</v>
      </c>
      <c r="AH442">
        <f>(4.5+6+2+5+4)*(3+1)</f>
        <v>86</v>
      </c>
      <c r="AI442">
        <f>(4.5+6+2+5+4+4)*(3+1)</f>
        <v>102</v>
      </c>
      <c r="AJ442">
        <f>(AI442-AH442)*2</f>
        <v>32</v>
      </c>
      <c r="AM442">
        <v>5</v>
      </c>
      <c r="AN442" t="s">
        <v>1249</v>
      </c>
      <c r="AP442" t="s">
        <v>232</v>
      </c>
      <c r="AQ442">
        <v>-3</v>
      </c>
    </row>
    <row r="443" spans="17:43" x14ac:dyDescent="0.25">
      <c r="R443">
        <f>SUM(R436:R442)</f>
        <v>21.5</v>
      </c>
      <c r="S443">
        <f>SUM(S436:S442)</f>
        <v>22</v>
      </c>
      <c r="T443">
        <f>R443+S443</f>
        <v>43.5</v>
      </c>
      <c r="V443" t="s">
        <v>1877</v>
      </c>
      <c r="AB443" t="s">
        <v>1642</v>
      </c>
      <c r="AH443">
        <f>(4.5+1+5+4)*(3+1+1)</f>
        <v>72.5</v>
      </c>
      <c r="AI443">
        <f>(4.5+1+5+4+4)*(3+1+1)</f>
        <v>92.5</v>
      </c>
      <c r="AJ443">
        <f>(AI443-AH443)*2</f>
        <v>40</v>
      </c>
      <c r="AM443">
        <v>6</v>
      </c>
      <c r="AN443" t="s">
        <v>2144</v>
      </c>
      <c r="AP443" t="s">
        <v>155</v>
      </c>
      <c r="AQ443">
        <v>-4</v>
      </c>
    </row>
    <row r="444" spans="17:43" x14ac:dyDescent="0.25">
      <c r="T444">
        <f>T443*10</f>
        <v>435</v>
      </c>
      <c r="V444" t="s">
        <v>1875</v>
      </c>
      <c r="AD444">
        <f>24+2+6</f>
        <v>32</v>
      </c>
      <c r="AF444">
        <f>14-3-2-1</f>
        <v>8</v>
      </c>
      <c r="AM444">
        <v>7</v>
      </c>
      <c r="AN444" t="s">
        <v>1454</v>
      </c>
    </row>
    <row r="445" spans="17:43" x14ac:dyDescent="0.25">
      <c r="V445" t="s">
        <v>1876</v>
      </c>
      <c r="AD445">
        <f>3.5*4+1+6</f>
        <v>21</v>
      </c>
      <c r="AF445">
        <f>14-3-1</f>
        <v>10</v>
      </c>
      <c r="AM445">
        <v>8</v>
      </c>
      <c r="AN445" t="s">
        <v>2145</v>
      </c>
    </row>
    <row r="446" spans="17:43" x14ac:dyDescent="0.25">
      <c r="Q446" t="s">
        <v>212</v>
      </c>
      <c r="R446">
        <v>3.5</v>
      </c>
      <c r="S446">
        <v>2</v>
      </c>
      <c r="U446" t="s">
        <v>1278</v>
      </c>
      <c r="V446">
        <v>1</v>
      </c>
      <c r="W446">
        <v>1</v>
      </c>
      <c r="X446">
        <v>1</v>
      </c>
      <c r="Y446">
        <v>1</v>
      </c>
      <c r="AI446">
        <f>(8+6+2+5+4+4)*(3+1)</f>
        <v>116</v>
      </c>
      <c r="AM446">
        <v>9</v>
      </c>
      <c r="AN446" t="s">
        <v>658</v>
      </c>
    </row>
    <row r="447" spans="17:43" x14ac:dyDescent="0.25">
      <c r="Q447" t="s">
        <v>1805</v>
      </c>
      <c r="R447">
        <v>1</v>
      </c>
      <c r="S447">
        <v>3</v>
      </c>
      <c r="U447" t="s">
        <v>509</v>
      </c>
      <c r="V447">
        <v>2</v>
      </c>
      <c r="W447">
        <v>10</v>
      </c>
      <c r="X447">
        <v>5</v>
      </c>
      <c r="Y447">
        <v>10</v>
      </c>
      <c r="AA447">
        <f>3*(5.5+3)*5*4</f>
        <v>510</v>
      </c>
      <c r="AE447">
        <f>(1+1+1+1)*(24+2+6)+(8+2+2+6)</f>
        <v>146</v>
      </c>
      <c r="AF447">
        <f>(1+1+1+1)*(8+4+6)+(8+2+2+6)</f>
        <v>90</v>
      </c>
      <c r="AM447">
        <v>10</v>
      </c>
      <c r="AN447" t="s">
        <v>2146</v>
      </c>
    </row>
    <row r="448" spans="17:43" x14ac:dyDescent="0.25">
      <c r="Q448" t="s">
        <v>827</v>
      </c>
      <c r="U448" t="s">
        <v>1620</v>
      </c>
      <c r="V448">
        <v>3</v>
      </c>
      <c r="W448">
        <v>3</v>
      </c>
      <c r="X448">
        <v>1.6</v>
      </c>
      <c r="Y448">
        <v>2</v>
      </c>
      <c r="AE448">
        <f>(1+1+1)*2*(3.5*4+6)+(4.5+2+6)*2</f>
        <v>145</v>
      </c>
      <c r="AF448">
        <f>(1+1+1)*2*(4.5+6)+(4.5+2+6)*2</f>
        <v>88</v>
      </c>
      <c r="AH448">
        <f>(3.5+2+8+1+4)*3+(4.5+2+4+1)</f>
        <v>67</v>
      </c>
    </row>
    <row r="449" spans="17:43" x14ac:dyDescent="0.25">
      <c r="Q449" t="s">
        <v>818</v>
      </c>
      <c r="R449">
        <v>1</v>
      </c>
      <c r="S449">
        <v>1</v>
      </c>
      <c r="U449" t="s">
        <v>231</v>
      </c>
      <c r="V449">
        <f>V446*V447*V448</f>
        <v>6</v>
      </c>
      <c r="W449">
        <f>W446*W447*W448</f>
        <v>30</v>
      </c>
      <c r="X449">
        <f>X446*X447*X448</f>
        <v>8</v>
      </c>
      <c r="Y449">
        <f>Y446*Y447*Y448</f>
        <v>20</v>
      </c>
      <c r="AA449">
        <f>(4*5.5)*5+12</f>
        <v>122</v>
      </c>
      <c r="AQ449">
        <f>SUM(AQ439:AQ448)</f>
        <v>1</v>
      </c>
    </row>
    <row r="450" spans="17:43" x14ac:dyDescent="0.25">
      <c r="Q450" t="s">
        <v>637</v>
      </c>
      <c r="R450">
        <v>6</v>
      </c>
      <c r="S450">
        <v>6</v>
      </c>
      <c r="Y450">
        <f>Y449*0.5</f>
        <v>10</v>
      </c>
      <c r="AA450">
        <f>AA449*4</f>
        <v>488</v>
      </c>
      <c r="AF450">
        <f>2-4-1-10</f>
        <v>-13</v>
      </c>
    </row>
    <row r="451" spans="17:43" x14ac:dyDescent="0.25">
      <c r="AA451">
        <f>AA450*3</f>
        <v>1464</v>
      </c>
      <c r="AH451">
        <f>3.5*10</f>
        <v>35</v>
      </c>
    </row>
    <row r="452" spans="17:43" x14ac:dyDescent="0.25">
      <c r="AA452">
        <f>AA451*0.75</f>
        <v>1098</v>
      </c>
      <c r="AH452">
        <f>1*10</f>
        <v>10</v>
      </c>
    </row>
    <row r="453" spans="17:43" x14ac:dyDescent="0.25">
      <c r="R453">
        <f>SUM(R446:R452)</f>
        <v>11.5</v>
      </c>
      <c r="S453">
        <f>SUM(S446:S452)</f>
        <v>12</v>
      </c>
      <c r="T453">
        <f>R453+S453</f>
        <v>23.5</v>
      </c>
      <c r="X453">
        <v>1</v>
      </c>
      <c r="AD453">
        <f>183*3+80</f>
        <v>629</v>
      </c>
      <c r="AF453">
        <f>(24)*5</f>
        <v>120</v>
      </c>
    </row>
    <row r="454" spans="17:43" x14ac:dyDescent="0.25">
      <c r="T454">
        <f>T453*10</f>
        <v>235</v>
      </c>
      <c r="X454">
        <v>-4</v>
      </c>
    </row>
    <row r="455" spans="17:43" x14ac:dyDescent="0.25">
      <c r="X455">
        <v>-3</v>
      </c>
      <c r="AF455">
        <f>14-4-1</f>
        <v>9</v>
      </c>
      <c r="AH455">
        <f>15-6-4-3</f>
        <v>2</v>
      </c>
    </row>
    <row r="456" spans="17:43" x14ac:dyDescent="0.25">
      <c r="X456">
        <v>-1</v>
      </c>
    </row>
    <row r="457" spans="17:43" x14ac:dyDescent="0.25">
      <c r="X457">
        <v>-3</v>
      </c>
      <c r="AE457">
        <f>4*7+11</f>
        <v>39</v>
      </c>
      <c r="AG457">
        <f>5.5*10*6</f>
        <v>330</v>
      </c>
    </row>
    <row r="458" spans="17:43" x14ac:dyDescent="0.25">
      <c r="X458">
        <v>-1</v>
      </c>
      <c r="AF458">
        <v>5</v>
      </c>
      <c r="AG458">
        <v>10</v>
      </c>
      <c r="AH458">
        <v>11</v>
      </c>
    </row>
    <row r="459" spans="17:43" x14ac:dyDescent="0.25">
      <c r="X459">
        <v>-1</v>
      </c>
      <c r="AF459">
        <v>20</v>
      </c>
      <c r="AG459">
        <v>40</v>
      </c>
      <c r="AH459">
        <v>19</v>
      </c>
    </row>
    <row r="460" spans="17:43" x14ac:dyDescent="0.25">
      <c r="W460" t="s">
        <v>633</v>
      </c>
      <c r="X460">
        <f>SUM(X453:X459)</f>
        <v>-12</v>
      </c>
      <c r="Z460" t="s">
        <v>1621</v>
      </c>
      <c r="AA460">
        <v>1</v>
      </c>
    </row>
    <row r="461" spans="17:43" x14ac:dyDescent="0.25">
      <c r="W461" t="s">
        <v>626</v>
      </c>
      <c r="Z461" t="s">
        <v>1622</v>
      </c>
      <c r="AA461">
        <v>2</v>
      </c>
      <c r="AK461" t="s">
        <v>579</v>
      </c>
    </row>
    <row r="462" spans="17:43" x14ac:dyDescent="0.25">
      <c r="W462" t="s">
        <v>1532</v>
      </c>
      <c r="Z462" t="s">
        <v>1597</v>
      </c>
      <c r="AA462" s="4">
        <v>3</v>
      </c>
      <c r="AK462" t="s">
        <v>1293</v>
      </c>
    </row>
    <row r="463" spans="17:43" x14ac:dyDescent="0.25">
      <c r="W463" t="s">
        <v>629</v>
      </c>
      <c r="Z463" t="s">
        <v>1623</v>
      </c>
      <c r="AA463" s="4">
        <v>4</v>
      </c>
      <c r="AK463" t="s">
        <v>552</v>
      </c>
    </row>
    <row r="464" spans="17:43" x14ac:dyDescent="0.25">
      <c r="W464" t="s">
        <v>1493</v>
      </c>
      <c r="Z464" t="s">
        <v>672</v>
      </c>
      <c r="AA464">
        <v>5</v>
      </c>
      <c r="AK464" t="s">
        <v>1291</v>
      </c>
    </row>
    <row r="465" spans="23:37" x14ac:dyDescent="0.25">
      <c r="W465" t="s">
        <v>628</v>
      </c>
      <c r="Z465" t="s">
        <v>671</v>
      </c>
      <c r="AA465">
        <v>6</v>
      </c>
      <c r="AD465" t="s">
        <v>1292</v>
      </c>
      <c r="AK465" t="s">
        <v>1300</v>
      </c>
    </row>
    <row r="466" spans="23:37" x14ac:dyDescent="0.25">
      <c r="W466" t="s">
        <v>631</v>
      </c>
      <c r="Z466" t="s">
        <v>1624</v>
      </c>
      <c r="AA466" s="1">
        <v>7</v>
      </c>
      <c r="AD466" t="s">
        <v>1287</v>
      </c>
      <c r="AI466">
        <f>(5+9+1+4)*7+7</f>
        <v>140</v>
      </c>
      <c r="AK466" t="s">
        <v>1301</v>
      </c>
    </row>
    <row r="467" spans="23:37" x14ac:dyDescent="0.25">
      <c r="W467" t="s">
        <v>1492</v>
      </c>
      <c r="Z467" t="s">
        <v>668</v>
      </c>
      <c r="AA467" s="1">
        <v>8</v>
      </c>
      <c r="AD467" t="s">
        <v>1213</v>
      </c>
    </row>
    <row r="468" spans="23:37" x14ac:dyDescent="0.25">
      <c r="W468" t="s">
        <v>1491</v>
      </c>
      <c r="Z468" t="s">
        <v>1507</v>
      </c>
      <c r="AA468" s="1">
        <v>9</v>
      </c>
      <c r="AI468">
        <f>(6+9+1+4)*7+7</f>
        <v>147</v>
      </c>
      <c r="AK468" t="s">
        <v>579</v>
      </c>
    </row>
    <row r="469" spans="23:37" x14ac:dyDescent="0.25">
      <c r="W469" t="s">
        <v>1632</v>
      </c>
      <c r="Z469" t="s">
        <v>1625</v>
      </c>
      <c r="AA469" s="1">
        <v>10</v>
      </c>
      <c r="AI469">
        <f>(6+9+3+4+5)*5+7</f>
        <v>142</v>
      </c>
      <c r="AK469" t="s">
        <v>579</v>
      </c>
    </row>
    <row r="470" spans="23:37" x14ac:dyDescent="0.25">
      <c r="W470" t="s">
        <v>1636</v>
      </c>
      <c r="Z470" t="s">
        <v>1626</v>
      </c>
      <c r="AA470" s="1">
        <v>11</v>
      </c>
      <c r="AK470" t="s">
        <v>552</v>
      </c>
    </row>
    <row r="471" spans="23:37" x14ac:dyDescent="0.25">
      <c r="W471" t="s">
        <v>1633</v>
      </c>
      <c r="Z471" t="s">
        <v>1627</v>
      </c>
      <c r="AA471" s="4">
        <v>12</v>
      </c>
      <c r="AK471" t="s">
        <v>552</v>
      </c>
    </row>
    <row r="472" spans="23:37" x14ac:dyDescent="0.25">
      <c r="W472" t="s">
        <v>1635</v>
      </c>
      <c r="Z472" t="s">
        <v>667</v>
      </c>
      <c r="AA472" s="1">
        <v>13</v>
      </c>
      <c r="AG472">
        <f>14-2-3-4-2</f>
        <v>3</v>
      </c>
      <c r="AK472" t="s">
        <v>100</v>
      </c>
    </row>
    <row r="473" spans="23:37" x14ac:dyDescent="0.25">
      <c r="W473" t="s">
        <v>1634</v>
      </c>
      <c r="Z473" t="s">
        <v>1628</v>
      </c>
      <c r="AA473" s="1">
        <v>14</v>
      </c>
      <c r="AK473" t="s">
        <v>100</v>
      </c>
    </row>
    <row r="474" spans="23:37" x14ac:dyDescent="0.25">
      <c r="W474" t="s">
        <v>632</v>
      </c>
      <c r="Z474" t="s">
        <v>1629</v>
      </c>
      <c r="AA474" s="4">
        <v>15</v>
      </c>
    </row>
    <row r="475" spans="23:37" x14ac:dyDescent="0.25">
      <c r="Z475" t="s">
        <v>1630</v>
      </c>
      <c r="AA475" s="4">
        <v>16</v>
      </c>
      <c r="AI475" t="s">
        <v>1143</v>
      </c>
    </row>
    <row r="476" spans="23:37" x14ac:dyDescent="0.25">
      <c r="Z476" t="s">
        <v>1631</v>
      </c>
      <c r="AA476" s="1">
        <v>17</v>
      </c>
      <c r="AH476" t="s">
        <v>1644</v>
      </c>
      <c r="AI476">
        <f>4-4-4</f>
        <v>-4</v>
      </c>
      <c r="AJ476">
        <f>3-2-4-4</f>
        <v>-7</v>
      </c>
    </row>
    <row r="477" spans="23:37" x14ac:dyDescent="0.25">
      <c r="Z477" t="s">
        <v>670</v>
      </c>
      <c r="AA477" s="1">
        <v>18</v>
      </c>
    </row>
    <row r="478" spans="23:37" x14ac:dyDescent="0.25">
      <c r="AH478" t="s">
        <v>1645</v>
      </c>
      <c r="AI478">
        <f>4-4-8-1</f>
        <v>-9</v>
      </c>
    </row>
    <row r="480" spans="23:37" x14ac:dyDescent="0.25">
      <c r="AH480" t="s">
        <v>1646</v>
      </c>
      <c r="AI480">
        <f>2-4-8-1</f>
        <v>-11</v>
      </c>
    </row>
    <row r="481" spans="18:37" x14ac:dyDescent="0.25">
      <c r="R481" t="s">
        <v>1679</v>
      </c>
    </row>
    <row r="482" spans="18:37" x14ac:dyDescent="0.25">
      <c r="R482" t="s">
        <v>1680</v>
      </c>
      <c r="T482" t="s">
        <v>1681</v>
      </c>
      <c r="AB482">
        <v>27</v>
      </c>
      <c r="AC482">
        <f>5/2</f>
        <v>2.5</v>
      </c>
      <c r="AD482">
        <f>AC482*AB482</f>
        <v>67.5</v>
      </c>
      <c r="AH482" t="s">
        <v>1647</v>
      </c>
    </row>
    <row r="483" spans="18:37" x14ac:dyDescent="0.25">
      <c r="R483" t="s">
        <v>1682</v>
      </c>
      <c r="T483" t="s">
        <v>1683</v>
      </c>
      <c r="AB483">
        <v>21</v>
      </c>
      <c r="AC483">
        <f>7/2</f>
        <v>3.5</v>
      </c>
      <c r="AD483">
        <f>AC483*AB483</f>
        <v>73.5</v>
      </c>
      <c r="AE483">
        <f>0.9^10</f>
        <v>0.34867844010000015</v>
      </c>
    </row>
    <row r="484" spans="18:37" x14ac:dyDescent="0.25">
      <c r="R484" t="s">
        <v>1684</v>
      </c>
      <c r="T484" t="s">
        <v>1685</v>
      </c>
      <c r="AE484">
        <f>0.95^10</f>
        <v>0.5987369392383789</v>
      </c>
    </row>
    <row r="485" spans="18:37" x14ac:dyDescent="0.25">
      <c r="R485" t="s">
        <v>1686</v>
      </c>
      <c r="T485" t="s">
        <v>1687</v>
      </c>
    </row>
    <row r="486" spans="18:37" x14ac:dyDescent="0.25">
      <c r="R486" t="s">
        <v>1688</v>
      </c>
      <c r="T486" t="s">
        <v>1689</v>
      </c>
    </row>
    <row r="487" spans="18:37" x14ac:dyDescent="0.25">
      <c r="R487" t="s">
        <v>1690</v>
      </c>
      <c r="T487" t="s">
        <v>1691</v>
      </c>
      <c r="Y487" t="s">
        <v>1871</v>
      </c>
      <c r="AB487" t="s">
        <v>1871</v>
      </c>
      <c r="AE487" t="s">
        <v>1871</v>
      </c>
    </row>
    <row r="488" spans="18:37" x14ac:dyDescent="0.25">
      <c r="R488" t="s">
        <v>1692</v>
      </c>
      <c r="T488" t="s">
        <v>1693</v>
      </c>
      <c r="X488" t="s">
        <v>407</v>
      </c>
      <c r="Y488">
        <v>1</v>
      </c>
      <c r="Z488">
        <v>1</v>
      </c>
      <c r="AA488" t="s">
        <v>1883</v>
      </c>
      <c r="AB488">
        <v>2</v>
      </c>
      <c r="AC488">
        <v>2</v>
      </c>
      <c r="AD488" t="s">
        <v>1234</v>
      </c>
      <c r="AE488">
        <v>1</v>
      </c>
      <c r="AF488">
        <v>1</v>
      </c>
    </row>
    <row r="489" spans="18:37" x14ac:dyDescent="0.25">
      <c r="R489" t="s">
        <v>1694</v>
      </c>
      <c r="T489" t="s">
        <v>1695</v>
      </c>
      <c r="X489" t="s">
        <v>509</v>
      </c>
      <c r="Y489">
        <v>6</v>
      </c>
      <c r="Z489">
        <v>6</v>
      </c>
      <c r="AA489" t="s">
        <v>509</v>
      </c>
      <c r="AB489">
        <v>6</v>
      </c>
      <c r="AC489">
        <v>6</v>
      </c>
      <c r="AD489" t="s">
        <v>509</v>
      </c>
      <c r="AE489">
        <v>6</v>
      </c>
      <c r="AF489">
        <v>6</v>
      </c>
    </row>
    <row r="490" spans="18:37" x14ac:dyDescent="0.25">
      <c r="R490" t="s">
        <v>1696</v>
      </c>
      <c r="T490" t="s">
        <v>1697</v>
      </c>
      <c r="X490" t="s">
        <v>795</v>
      </c>
      <c r="Y490">
        <v>1</v>
      </c>
      <c r="Z490">
        <v>1</v>
      </c>
      <c r="AA490" t="s">
        <v>795</v>
      </c>
      <c r="AB490">
        <v>1</v>
      </c>
      <c r="AC490">
        <v>1</v>
      </c>
      <c r="AD490" t="s">
        <v>795</v>
      </c>
      <c r="AE490">
        <v>1</v>
      </c>
      <c r="AF490">
        <v>1</v>
      </c>
    </row>
    <row r="491" spans="18:37" x14ac:dyDescent="0.25">
      <c r="R491" t="s">
        <v>1246</v>
      </c>
      <c r="T491" t="s">
        <v>1230</v>
      </c>
      <c r="X491" t="s">
        <v>796</v>
      </c>
      <c r="Y491">
        <v>1</v>
      </c>
      <c r="Z491">
        <v>1</v>
      </c>
      <c r="AA491" t="s">
        <v>796</v>
      </c>
      <c r="AB491">
        <v>1</v>
      </c>
      <c r="AC491">
        <v>1</v>
      </c>
      <c r="AD491" t="s">
        <v>796</v>
      </c>
      <c r="AE491">
        <v>1</v>
      </c>
      <c r="AF491">
        <f>4/6</f>
        <v>0.66666666666666663</v>
      </c>
    </row>
    <row r="492" spans="18:37" x14ac:dyDescent="0.25">
      <c r="R492" t="s">
        <v>1698</v>
      </c>
      <c r="T492" t="s">
        <v>1699</v>
      </c>
      <c r="Y492">
        <f>Y488*Y489*Y490*Y491</f>
        <v>6</v>
      </c>
      <c r="Z492">
        <f>Z488*Z489*Z490*Z491</f>
        <v>6</v>
      </c>
      <c r="AB492">
        <f>AB488*AB489*AB490*AB491</f>
        <v>12</v>
      </c>
      <c r="AC492">
        <f>AC488*AC489*AC490*AC491</f>
        <v>12</v>
      </c>
      <c r="AE492">
        <f>AE488*AE489*AE490*AE491</f>
        <v>6</v>
      </c>
      <c r="AF492">
        <f>AF488*AF489*AF490*AF491</f>
        <v>4</v>
      </c>
    </row>
    <row r="493" spans="18:37" x14ac:dyDescent="0.25">
      <c r="R493" t="s">
        <v>1700</v>
      </c>
      <c r="T493" t="s">
        <v>1701</v>
      </c>
      <c r="Y493">
        <f>Y492+Z492</f>
        <v>12</v>
      </c>
      <c r="AB493">
        <f>AB492+AC492</f>
        <v>24</v>
      </c>
      <c r="AE493">
        <f>AE492+AF492</f>
        <v>10</v>
      </c>
    </row>
    <row r="494" spans="18:37" x14ac:dyDescent="0.25">
      <c r="R494" t="s">
        <v>1702</v>
      </c>
      <c r="T494" t="s">
        <v>1703</v>
      </c>
    </row>
    <row r="495" spans="18:37" x14ac:dyDescent="0.25">
      <c r="R495" t="s">
        <v>1704</v>
      </c>
      <c r="T495" t="s">
        <v>985</v>
      </c>
      <c r="X495" t="s">
        <v>1872</v>
      </c>
      <c r="AC495" t="s">
        <v>1899</v>
      </c>
    </row>
    <row r="496" spans="18:37" x14ac:dyDescent="0.25">
      <c r="R496" t="s">
        <v>1705</v>
      </c>
      <c r="T496" t="s">
        <v>936</v>
      </c>
      <c r="AC496">
        <v>0</v>
      </c>
      <c r="AD496" t="s">
        <v>1896</v>
      </c>
      <c r="AE496" t="s">
        <v>1234</v>
      </c>
      <c r="AF496" t="s">
        <v>1897</v>
      </c>
      <c r="AG496" t="s">
        <v>1898</v>
      </c>
      <c r="AI496">
        <v>0</v>
      </c>
      <c r="AJ496" t="s">
        <v>1901</v>
      </c>
      <c r="AK496" t="s">
        <v>1883</v>
      </c>
    </row>
    <row r="497" spans="18:41" x14ac:dyDescent="0.25">
      <c r="R497" t="s">
        <v>1706</v>
      </c>
      <c r="T497" t="s">
        <v>1707</v>
      </c>
      <c r="X497" t="s">
        <v>580</v>
      </c>
      <c r="AA497" t="s">
        <v>1878</v>
      </c>
      <c r="AC497">
        <v>1</v>
      </c>
      <c r="AD497">
        <f t="shared" ref="AD497:AD507" si="55">(20-(6+5+AC496))/20+0.05</f>
        <v>0.5</v>
      </c>
      <c r="AE497">
        <f>1*AD497</f>
        <v>0.5</v>
      </c>
      <c r="AF497">
        <f t="shared" ref="AF497:AF506" si="56">AC497</f>
        <v>1</v>
      </c>
      <c r="AG497">
        <f t="shared" ref="AG497:AG508" si="57">AE497+AF497</f>
        <v>1.5</v>
      </c>
      <c r="AI497">
        <v>1</v>
      </c>
      <c r="AJ497">
        <f>6/20</f>
        <v>0.3</v>
      </c>
      <c r="AK497">
        <f>2*AJ497</f>
        <v>0.6</v>
      </c>
      <c r="AM497">
        <v>1</v>
      </c>
      <c r="AN497">
        <f>6/20</f>
        <v>0.3</v>
      </c>
      <c r="AO497">
        <f>2*AN497</f>
        <v>0.6</v>
      </c>
    </row>
    <row r="498" spans="18:41" x14ac:dyDescent="0.25">
      <c r="X498" t="s">
        <v>1307</v>
      </c>
      <c r="AA498" t="s">
        <v>1292</v>
      </c>
      <c r="AC498">
        <v>2</v>
      </c>
      <c r="AD498">
        <f t="shared" si="55"/>
        <v>0.45</v>
      </c>
      <c r="AE498">
        <f t="shared" ref="AE498:AE508" si="58">1*AD498+AE497</f>
        <v>0.95</v>
      </c>
      <c r="AF498">
        <f t="shared" si="56"/>
        <v>2</v>
      </c>
      <c r="AG498">
        <f t="shared" si="57"/>
        <v>2.95</v>
      </c>
      <c r="AI498">
        <v>2</v>
      </c>
      <c r="AJ498">
        <f t="shared" ref="AJ498:AJ508" si="59">AJ497+0.05</f>
        <v>0.35</v>
      </c>
      <c r="AK498">
        <f t="shared" ref="AK498:AK508" si="60">2*AJ498+AK497</f>
        <v>1.2999999999999998</v>
      </c>
      <c r="AM498">
        <v>2</v>
      </c>
      <c r="AN498">
        <f t="shared" ref="AN498:AN511" si="61">AN497+0.05</f>
        <v>0.35</v>
      </c>
      <c r="AO498">
        <f t="shared" ref="AO498:AO512" si="62">2*AN498+AO497</f>
        <v>1.2999999999999998</v>
      </c>
    </row>
    <row r="499" spans="18:41" x14ac:dyDescent="0.25">
      <c r="R499" t="s">
        <v>1708</v>
      </c>
      <c r="X499" t="s">
        <v>1292</v>
      </c>
      <c r="AC499">
        <v>3</v>
      </c>
      <c r="AD499">
        <f t="shared" si="55"/>
        <v>0.39999999999999997</v>
      </c>
      <c r="AE499">
        <f t="shared" si="58"/>
        <v>1.3499999999999999</v>
      </c>
      <c r="AF499">
        <f t="shared" si="56"/>
        <v>3</v>
      </c>
      <c r="AG499">
        <f t="shared" si="57"/>
        <v>4.3499999999999996</v>
      </c>
      <c r="AI499">
        <v>3</v>
      </c>
      <c r="AJ499">
        <f t="shared" si="59"/>
        <v>0.39999999999999997</v>
      </c>
      <c r="AK499">
        <f t="shared" si="60"/>
        <v>2.0999999999999996</v>
      </c>
      <c r="AM499">
        <v>3</v>
      </c>
      <c r="AN499">
        <f t="shared" si="61"/>
        <v>0.39999999999999997</v>
      </c>
      <c r="AO499">
        <f t="shared" si="62"/>
        <v>2.0999999999999996</v>
      </c>
    </row>
    <row r="500" spans="18:41" x14ac:dyDescent="0.25">
      <c r="R500" t="s">
        <v>1709</v>
      </c>
      <c r="T500" t="s">
        <v>1710</v>
      </c>
      <c r="X500" t="s">
        <v>1874</v>
      </c>
      <c r="AC500">
        <v>4</v>
      </c>
      <c r="AD500">
        <f t="shared" si="55"/>
        <v>0.35</v>
      </c>
      <c r="AE500">
        <f t="shared" si="58"/>
        <v>1.6999999999999997</v>
      </c>
      <c r="AF500">
        <f t="shared" si="56"/>
        <v>4</v>
      </c>
      <c r="AG500">
        <f t="shared" si="57"/>
        <v>5.6999999999999993</v>
      </c>
      <c r="AI500">
        <v>4</v>
      </c>
      <c r="AJ500">
        <f t="shared" si="59"/>
        <v>0.44999999999999996</v>
      </c>
      <c r="AK500">
        <f t="shared" si="60"/>
        <v>2.9999999999999996</v>
      </c>
      <c r="AM500">
        <v>4</v>
      </c>
      <c r="AN500">
        <f t="shared" si="61"/>
        <v>0.44999999999999996</v>
      </c>
      <c r="AO500">
        <f t="shared" si="62"/>
        <v>2.9999999999999996</v>
      </c>
    </row>
    <row r="501" spans="18:41" x14ac:dyDescent="0.25">
      <c r="R501" t="s">
        <v>1711</v>
      </c>
      <c r="T501" t="s">
        <v>1712</v>
      </c>
      <c r="X501" t="s">
        <v>1873</v>
      </c>
      <c r="AC501">
        <v>5</v>
      </c>
      <c r="AD501">
        <f t="shared" si="55"/>
        <v>0.3</v>
      </c>
      <c r="AE501">
        <f t="shared" si="58"/>
        <v>1.9999999999999998</v>
      </c>
      <c r="AF501">
        <f t="shared" si="56"/>
        <v>5</v>
      </c>
      <c r="AG501">
        <f t="shared" si="57"/>
        <v>7</v>
      </c>
      <c r="AI501">
        <v>5</v>
      </c>
      <c r="AJ501">
        <f t="shared" si="59"/>
        <v>0.49999999999999994</v>
      </c>
      <c r="AK501">
        <f t="shared" si="60"/>
        <v>3.9999999999999996</v>
      </c>
      <c r="AM501">
        <v>5</v>
      </c>
      <c r="AN501">
        <f t="shared" si="61"/>
        <v>0.49999999999999994</v>
      </c>
      <c r="AO501">
        <f t="shared" si="62"/>
        <v>3.9999999999999996</v>
      </c>
    </row>
    <row r="502" spans="18:41" x14ac:dyDescent="0.25">
      <c r="R502" t="s">
        <v>1734</v>
      </c>
      <c r="T502" t="s">
        <v>1735</v>
      </c>
      <c r="X502" t="s">
        <v>1808</v>
      </c>
      <c r="AC502">
        <v>6</v>
      </c>
      <c r="AD502">
        <f t="shared" si="55"/>
        <v>0.25</v>
      </c>
      <c r="AE502">
        <f t="shared" si="58"/>
        <v>2.25</v>
      </c>
      <c r="AF502">
        <f t="shared" si="56"/>
        <v>6</v>
      </c>
      <c r="AG502">
        <f t="shared" si="57"/>
        <v>8.25</v>
      </c>
      <c r="AI502">
        <v>6</v>
      </c>
      <c r="AJ502">
        <f t="shared" si="59"/>
        <v>0.54999999999999993</v>
      </c>
      <c r="AK502">
        <f t="shared" si="60"/>
        <v>5.0999999999999996</v>
      </c>
      <c r="AM502">
        <v>6</v>
      </c>
      <c r="AN502">
        <f t="shared" si="61"/>
        <v>0.54999999999999993</v>
      </c>
      <c r="AO502">
        <f t="shared" si="62"/>
        <v>5.0999999999999996</v>
      </c>
    </row>
    <row r="503" spans="18:41" x14ac:dyDescent="0.25">
      <c r="AC503">
        <v>7</v>
      </c>
      <c r="AD503">
        <f t="shared" si="55"/>
        <v>0.2</v>
      </c>
      <c r="AE503">
        <f t="shared" si="58"/>
        <v>2.4500000000000002</v>
      </c>
      <c r="AF503">
        <f t="shared" si="56"/>
        <v>7</v>
      </c>
      <c r="AG503">
        <f t="shared" si="57"/>
        <v>9.4499999999999993</v>
      </c>
      <c r="AI503">
        <v>7</v>
      </c>
      <c r="AJ503">
        <f t="shared" si="59"/>
        <v>0.6</v>
      </c>
      <c r="AK503">
        <f t="shared" si="60"/>
        <v>6.3</v>
      </c>
      <c r="AM503">
        <v>7</v>
      </c>
      <c r="AN503">
        <f t="shared" si="61"/>
        <v>0.6</v>
      </c>
      <c r="AO503">
        <f t="shared" si="62"/>
        <v>6.3</v>
      </c>
    </row>
    <row r="504" spans="18:41" x14ac:dyDescent="0.25">
      <c r="R504" t="s">
        <v>1713</v>
      </c>
      <c r="AC504">
        <v>8</v>
      </c>
      <c r="AD504">
        <f t="shared" si="55"/>
        <v>0.15000000000000002</v>
      </c>
      <c r="AE504">
        <f t="shared" si="58"/>
        <v>2.6</v>
      </c>
      <c r="AF504">
        <f t="shared" si="56"/>
        <v>8</v>
      </c>
      <c r="AG504">
        <f t="shared" si="57"/>
        <v>10.6</v>
      </c>
      <c r="AI504">
        <v>8</v>
      </c>
      <c r="AJ504">
        <f t="shared" si="59"/>
        <v>0.65</v>
      </c>
      <c r="AK504">
        <f t="shared" si="60"/>
        <v>7.6</v>
      </c>
      <c r="AM504">
        <v>8</v>
      </c>
      <c r="AN504">
        <f t="shared" si="61"/>
        <v>0.65</v>
      </c>
      <c r="AO504">
        <f t="shared" si="62"/>
        <v>7.6</v>
      </c>
    </row>
    <row r="505" spans="18:41" x14ac:dyDescent="0.25">
      <c r="R505" t="s">
        <v>1714</v>
      </c>
      <c r="T505" t="s">
        <v>1715</v>
      </c>
      <c r="AC505">
        <v>9</v>
      </c>
      <c r="AD505">
        <f t="shared" si="55"/>
        <v>0.1</v>
      </c>
      <c r="AE505">
        <f t="shared" si="58"/>
        <v>2.7</v>
      </c>
      <c r="AF505">
        <f t="shared" si="56"/>
        <v>9</v>
      </c>
      <c r="AG505">
        <f t="shared" si="57"/>
        <v>11.7</v>
      </c>
      <c r="AI505">
        <v>9</v>
      </c>
      <c r="AJ505">
        <f t="shared" si="59"/>
        <v>0.70000000000000007</v>
      </c>
      <c r="AK505">
        <f t="shared" si="60"/>
        <v>9</v>
      </c>
      <c r="AM505">
        <v>9</v>
      </c>
      <c r="AN505">
        <f t="shared" si="61"/>
        <v>0.70000000000000007</v>
      </c>
      <c r="AO505">
        <f t="shared" si="62"/>
        <v>9</v>
      </c>
    </row>
    <row r="506" spans="18:41" x14ac:dyDescent="0.25">
      <c r="Y506" t="s">
        <v>1292</v>
      </c>
      <c r="AC506">
        <v>10</v>
      </c>
      <c r="AD506">
        <f t="shared" si="55"/>
        <v>0.05</v>
      </c>
      <c r="AE506">
        <f t="shared" si="58"/>
        <v>2.75</v>
      </c>
      <c r="AF506">
        <f t="shared" si="56"/>
        <v>10</v>
      </c>
      <c r="AG506">
        <f t="shared" si="57"/>
        <v>12.75</v>
      </c>
      <c r="AI506">
        <v>10</v>
      </c>
      <c r="AJ506">
        <f t="shared" si="59"/>
        <v>0.75000000000000011</v>
      </c>
      <c r="AK506">
        <f t="shared" si="60"/>
        <v>10.5</v>
      </c>
      <c r="AM506">
        <v>10</v>
      </c>
      <c r="AN506">
        <f t="shared" si="61"/>
        <v>0.75000000000000011</v>
      </c>
      <c r="AO506">
        <f t="shared" si="62"/>
        <v>10.5</v>
      </c>
    </row>
    <row r="507" spans="18:41" x14ac:dyDescent="0.25">
      <c r="R507" t="s">
        <v>822</v>
      </c>
      <c r="Y507" t="s">
        <v>1292</v>
      </c>
      <c r="AC507">
        <v>11</v>
      </c>
      <c r="AD507">
        <f t="shared" si="55"/>
        <v>0</v>
      </c>
      <c r="AE507">
        <f t="shared" si="58"/>
        <v>2.75</v>
      </c>
      <c r="AF507">
        <v>9</v>
      </c>
      <c r="AG507">
        <f t="shared" si="57"/>
        <v>11.75</v>
      </c>
      <c r="AI507">
        <v>11</v>
      </c>
      <c r="AJ507">
        <f t="shared" si="59"/>
        <v>0.80000000000000016</v>
      </c>
      <c r="AK507">
        <f t="shared" si="60"/>
        <v>12.1</v>
      </c>
      <c r="AM507">
        <v>11</v>
      </c>
      <c r="AN507">
        <f t="shared" si="61"/>
        <v>0.80000000000000016</v>
      </c>
      <c r="AO507">
        <f t="shared" si="62"/>
        <v>12.1</v>
      </c>
    </row>
    <row r="508" spans="18:41" x14ac:dyDescent="0.25">
      <c r="R508" t="s">
        <v>1716</v>
      </c>
      <c r="T508" t="s">
        <v>1717</v>
      </c>
      <c r="Y508" t="s">
        <v>580</v>
      </c>
      <c r="AC508">
        <v>12</v>
      </c>
      <c r="AD508">
        <v>0</v>
      </c>
      <c r="AE508">
        <f t="shared" si="58"/>
        <v>2.75</v>
      </c>
      <c r="AF508">
        <v>8</v>
      </c>
      <c r="AG508">
        <f t="shared" si="57"/>
        <v>10.75</v>
      </c>
      <c r="AI508">
        <v>12</v>
      </c>
      <c r="AJ508">
        <f t="shared" si="59"/>
        <v>0.8500000000000002</v>
      </c>
      <c r="AK508">
        <f t="shared" si="60"/>
        <v>13.8</v>
      </c>
      <c r="AM508">
        <v>12</v>
      </c>
      <c r="AN508">
        <f t="shared" si="61"/>
        <v>0.8500000000000002</v>
      </c>
      <c r="AO508">
        <f t="shared" si="62"/>
        <v>13.8</v>
      </c>
    </row>
    <row r="509" spans="18:41" x14ac:dyDescent="0.25">
      <c r="R509" t="s">
        <v>1718</v>
      </c>
      <c r="T509" t="s">
        <v>1719</v>
      </c>
      <c r="Y509" t="s">
        <v>580</v>
      </c>
      <c r="AC509" t="s">
        <v>1451</v>
      </c>
      <c r="AI509" t="s">
        <v>1451</v>
      </c>
      <c r="AM509">
        <v>13</v>
      </c>
      <c r="AN509">
        <f t="shared" si="61"/>
        <v>0.90000000000000024</v>
      </c>
      <c r="AO509">
        <f t="shared" si="62"/>
        <v>15.600000000000001</v>
      </c>
    </row>
    <row r="510" spans="18:41" x14ac:dyDescent="0.25">
      <c r="R510" t="s">
        <v>1720</v>
      </c>
      <c r="T510" t="s">
        <v>1721</v>
      </c>
      <c r="Y510" t="s">
        <v>1287</v>
      </c>
      <c r="AC510">
        <v>0</v>
      </c>
      <c r="AD510" t="s">
        <v>1896</v>
      </c>
      <c r="AE510" t="s">
        <v>1234</v>
      </c>
      <c r="AF510" t="s">
        <v>1897</v>
      </c>
      <c r="AG510" t="s">
        <v>1898</v>
      </c>
      <c r="AI510">
        <v>0</v>
      </c>
      <c r="AJ510" t="s">
        <v>1901</v>
      </c>
      <c r="AK510" t="s">
        <v>1883</v>
      </c>
      <c r="AM510">
        <v>14</v>
      </c>
      <c r="AN510">
        <f t="shared" si="61"/>
        <v>0.95000000000000029</v>
      </c>
      <c r="AO510">
        <f t="shared" si="62"/>
        <v>17.500000000000004</v>
      </c>
    </row>
    <row r="511" spans="18:41" x14ac:dyDescent="0.25">
      <c r="R511" t="s">
        <v>1722</v>
      </c>
      <c r="T511" t="s">
        <v>1723</v>
      </c>
      <c r="Y511" t="s">
        <v>1287</v>
      </c>
      <c r="AC511">
        <v>1</v>
      </c>
      <c r="AD511">
        <f t="shared" ref="AD511:AD522" si="63">(20-(6+5+AC510))/20+0.05+0.2</f>
        <v>0.7</v>
      </c>
      <c r="AE511">
        <f>1*AD511</f>
        <v>0.7</v>
      </c>
      <c r="AF511">
        <f t="shared" ref="AF511:AF520" si="64">AC511</f>
        <v>1</v>
      </c>
      <c r="AG511">
        <f t="shared" ref="AG511:AG522" si="65">AE511+AF511</f>
        <v>1.7</v>
      </c>
      <c r="AI511">
        <v>1</v>
      </c>
      <c r="AJ511">
        <f t="shared" ref="AJ511:AJ521" si="66">AJ497+0.2</f>
        <v>0.5</v>
      </c>
      <c r="AK511">
        <f>2*AJ511</f>
        <v>1</v>
      </c>
      <c r="AM511">
        <v>15</v>
      </c>
      <c r="AN511">
        <f t="shared" si="61"/>
        <v>1.0000000000000002</v>
      </c>
      <c r="AO511">
        <f t="shared" si="62"/>
        <v>19.500000000000004</v>
      </c>
    </row>
    <row r="512" spans="18:41" x14ac:dyDescent="0.25">
      <c r="R512" t="s">
        <v>1724</v>
      </c>
      <c r="T512" t="s">
        <v>923</v>
      </c>
      <c r="AC512">
        <v>2</v>
      </c>
      <c r="AD512">
        <f t="shared" si="63"/>
        <v>0.65</v>
      </c>
      <c r="AE512">
        <f t="shared" ref="AE512:AE522" si="67">1*AD512+AE511</f>
        <v>1.35</v>
      </c>
      <c r="AF512">
        <f t="shared" si="64"/>
        <v>2</v>
      </c>
      <c r="AG512">
        <f t="shared" si="65"/>
        <v>3.35</v>
      </c>
      <c r="AI512">
        <v>2</v>
      </c>
      <c r="AJ512">
        <f t="shared" si="66"/>
        <v>0.55000000000000004</v>
      </c>
      <c r="AK512">
        <f t="shared" ref="AK512:AK522" si="68">2*AJ512+AK511</f>
        <v>2.1</v>
      </c>
      <c r="AM512">
        <v>16</v>
      </c>
      <c r="AN512">
        <v>1</v>
      </c>
      <c r="AO512">
        <f t="shared" si="62"/>
        <v>21.500000000000004</v>
      </c>
    </row>
    <row r="513" spans="18:41" x14ac:dyDescent="0.25">
      <c r="R513" t="s">
        <v>1725</v>
      </c>
      <c r="T513" t="s">
        <v>923</v>
      </c>
      <c r="AC513">
        <v>3</v>
      </c>
      <c r="AD513">
        <f t="shared" si="63"/>
        <v>0.6</v>
      </c>
      <c r="AE513">
        <f t="shared" si="67"/>
        <v>1.9500000000000002</v>
      </c>
      <c r="AF513">
        <f t="shared" si="64"/>
        <v>3</v>
      </c>
      <c r="AG513">
        <f t="shared" si="65"/>
        <v>4.95</v>
      </c>
      <c r="AI513">
        <v>3</v>
      </c>
      <c r="AJ513">
        <f t="shared" si="66"/>
        <v>0.6</v>
      </c>
      <c r="AK513">
        <f t="shared" si="68"/>
        <v>3.3</v>
      </c>
    </row>
    <row r="514" spans="18:41" x14ac:dyDescent="0.25">
      <c r="R514" t="s">
        <v>1726</v>
      </c>
      <c r="T514" t="s">
        <v>923</v>
      </c>
      <c r="AC514">
        <v>4</v>
      </c>
      <c r="AD514">
        <f t="shared" si="63"/>
        <v>0.55000000000000004</v>
      </c>
      <c r="AE514">
        <f t="shared" si="67"/>
        <v>2.5</v>
      </c>
      <c r="AF514">
        <f t="shared" si="64"/>
        <v>4</v>
      </c>
      <c r="AG514">
        <f t="shared" si="65"/>
        <v>6.5</v>
      </c>
      <c r="AI514">
        <v>4</v>
      </c>
      <c r="AJ514">
        <f t="shared" si="66"/>
        <v>0.64999999999999991</v>
      </c>
      <c r="AK514">
        <f t="shared" si="68"/>
        <v>4.5999999999999996</v>
      </c>
      <c r="AM514" t="s">
        <v>1451</v>
      </c>
    </row>
    <row r="515" spans="18:41" x14ac:dyDescent="0.25">
      <c r="R515" t="s">
        <v>1727</v>
      </c>
      <c r="T515" t="s">
        <v>923</v>
      </c>
      <c r="AC515">
        <v>5</v>
      </c>
      <c r="AD515">
        <f t="shared" si="63"/>
        <v>0.5</v>
      </c>
      <c r="AE515">
        <f t="shared" si="67"/>
        <v>3</v>
      </c>
      <c r="AF515">
        <f t="shared" si="64"/>
        <v>5</v>
      </c>
      <c r="AG515">
        <f t="shared" si="65"/>
        <v>8</v>
      </c>
      <c r="AI515">
        <v>5</v>
      </c>
      <c r="AJ515">
        <f t="shared" si="66"/>
        <v>0.7</v>
      </c>
      <c r="AK515">
        <f t="shared" si="68"/>
        <v>6</v>
      </c>
      <c r="AM515">
        <v>0</v>
      </c>
      <c r="AN515" t="s">
        <v>1901</v>
      </c>
      <c r="AO515" t="s">
        <v>1883</v>
      </c>
    </row>
    <row r="516" spans="18:41" x14ac:dyDescent="0.25">
      <c r="R516" t="s">
        <v>1728</v>
      </c>
      <c r="T516" t="s">
        <v>925</v>
      </c>
      <c r="AC516">
        <v>6</v>
      </c>
      <c r="AD516">
        <f t="shared" si="63"/>
        <v>0.45</v>
      </c>
      <c r="AE516">
        <f t="shared" si="67"/>
        <v>3.45</v>
      </c>
      <c r="AF516">
        <f t="shared" si="64"/>
        <v>6</v>
      </c>
      <c r="AG516">
        <f t="shared" si="65"/>
        <v>9.4499999999999993</v>
      </c>
      <c r="AI516">
        <v>6</v>
      </c>
      <c r="AJ516">
        <f t="shared" si="66"/>
        <v>0.75</v>
      </c>
      <c r="AK516">
        <f t="shared" si="68"/>
        <v>7.5</v>
      </c>
      <c r="AM516">
        <v>1</v>
      </c>
      <c r="AN516">
        <f t="shared" ref="AN516:AN526" si="69">AN497+0.2</f>
        <v>0.5</v>
      </c>
      <c r="AO516">
        <f>2*AN516</f>
        <v>1</v>
      </c>
    </row>
    <row r="517" spans="18:41" x14ac:dyDescent="0.25">
      <c r="R517" t="s">
        <v>1729</v>
      </c>
      <c r="T517" t="s">
        <v>930</v>
      </c>
      <c r="AC517">
        <v>7</v>
      </c>
      <c r="AD517">
        <f t="shared" si="63"/>
        <v>0.4</v>
      </c>
      <c r="AE517">
        <f t="shared" si="67"/>
        <v>3.85</v>
      </c>
      <c r="AF517">
        <f t="shared" si="64"/>
        <v>7</v>
      </c>
      <c r="AG517">
        <f t="shared" si="65"/>
        <v>10.85</v>
      </c>
      <c r="AI517">
        <v>7</v>
      </c>
      <c r="AJ517">
        <f t="shared" si="66"/>
        <v>0.8</v>
      </c>
      <c r="AK517">
        <f t="shared" si="68"/>
        <v>9.1</v>
      </c>
      <c r="AM517">
        <v>2</v>
      </c>
      <c r="AN517">
        <f t="shared" si="69"/>
        <v>0.55000000000000004</v>
      </c>
      <c r="AO517">
        <f t="shared" ref="AO517:AO531" si="70">2*AN517+AO516</f>
        <v>2.1</v>
      </c>
    </row>
    <row r="518" spans="18:41" x14ac:dyDescent="0.25">
      <c r="R518" t="s">
        <v>1730</v>
      </c>
      <c r="T518" t="s">
        <v>1733</v>
      </c>
      <c r="AC518">
        <v>8</v>
      </c>
      <c r="AD518">
        <f t="shared" si="63"/>
        <v>0.35000000000000003</v>
      </c>
      <c r="AE518">
        <f t="shared" si="67"/>
        <v>4.2</v>
      </c>
      <c r="AF518">
        <f t="shared" si="64"/>
        <v>8</v>
      </c>
      <c r="AG518">
        <f t="shared" si="65"/>
        <v>12.2</v>
      </c>
      <c r="AI518">
        <v>8</v>
      </c>
      <c r="AJ518">
        <f t="shared" si="66"/>
        <v>0.85000000000000009</v>
      </c>
      <c r="AK518">
        <f t="shared" si="68"/>
        <v>10.8</v>
      </c>
      <c r="AM518">
        <v>3</v>
      </c>
      <c r="AN518">
        <f t="shared" si="69"/>
        <v>0.6</v>
      </c>
      <c r="AO518">
        <f t="shared" si="70"/>
        <v>3.3</v>
      </c>
    </row>
    <row r="519" spans="18:41" x14ac:dyDescent="0.25">
      <c r="R519" t="s">
        <v>1731</v>
      </c>
      <c r="T519" t="s">
        <v>1733</v>
      </c>
      <c r="W519">
        <f>SUM(W506:W518)</f>
        <v>0</v>
      </c>
      <c r="X519">
        <f>SUM(X506:X518)</f>
        <v>0</v>
      </c>
      <c r="AC519">
        <v>9</v>
      </c>
      <c r="AD519">
        <f t="shared" si="63"/>
        <v>0.30000000000000004</v>
      </c>
      <c r="AE519">
        <f t="shared" si="67"/>
        <v>4.5</v>
      </c>
      <c r="AF519">
        <f t="shared" si="64"/>
        <v>9</v>
      </c>
      <c r="AG519">
        <f t="shared" si="65"/>
        <v>13.5</v>
      </c>
      <c r="AI519">
        <v>9</v>
      </c>
      <c r="AJ519">
        <f t="shared" si="66"/>
        <v>0.90000000000000013</v>
      </c>
      <c r="AK519">
        <f t="shared" si="68"/>
        <v>12.600000000000001</v>
      </c>
      <c r="AM519">
        <v>4</v>
      </c>
      <c r="AN519">
        <f t="shared" si="69"/>
        <v>0.64999999999999991</v>
      </c>
      <c r="AO519">
        <f t="shared" si="70"/>
        <v>4.5999999999999996</v>
      </c>
    </row>
    <row r="520" spans="18:41" x14ac:dyDescent="0.25">
      <c r="R520" t="s">
        <v>1732</v>
      </c>
      <c r="T520" t="s">
        <v>1733</v>
      </c>
      <c r="AC520">
        <v>10</v>
      </c>
      <c r="AD520">
        <f t="shared" si="63"/>
        <v>0.25</v>
      </c>
      <c r="AE520">
        <f t="shared" si="67"/>
        <v>4.75</v>
      </c>
      <c r="AF520">
        <f t="shared" si="64"/>
        <v>10</v>
      </c>
      <c r="AG520">
        <f t="shared" si="65"/>
        <v>14.75</v>
      </c>
      <c r="AI520">
        <v>10</v>
      </c>
      <c r="AJ520">
        <f t="shared" si="66"/>
        <v>0.95000000000000018</v>
      </c>
      <c r="AK520">
        <f t="shared" si="68"/>
        <v>14.500000000000002</v>
      </c>
      <c r="AM520">
        <v>5</v>
      </c>
      <c r="AN520">
        <f t="shared" si="69"/>
        <v>0.7</v>
      </c>
      <c r="AO520">
        <f t="shared" si="70"/>
        <v>6</v>
      </c>
    </row>
    <row r="521" spans="18:41" x14ac:dyDescent="0.25">
      <c r="R521" t="s">
        <v>1736</v>
      </c>
      <c r="T521" t="s">
        <v>1740</v>
      </c>
      <c r="AC521">
        <v>11</v>
      </c>
      <c r="AD521">
        <f t="shared" si="63"/>
        <v>0.2</v>
      </c>
      <c r="AE521">
        <f t="shared" si="67"/>
        <v>4.95</v>
      </c>
      <c r="AF521">
        <v>9</v>
      </c>
      <c r="AG521">
        <f t="shared" si="65"/>
        <v>13.95</v>
      </c>
      <c r="AI521">
        <v>11</v>
      </c>
      <c r="AJ521">
        <f t="shared" si="66"/>
        <v>1.0000000000000002</v>
      </c>
      <c r="AK521">
        <f t="shared" si="68"/>
        <v>16.500000000000004</v>
      </c>
      <c r="AM521">
        <v>6</v>
      </c>
      <c r="AN521">
        <f t="shared" si="69"/>
        <v>0.75</v>
      </c>
      <c r="AO521">
        <f t="shared" si="70"/>
        <v>7.5</v>
      </c>
    </row>
    <row r="522" spans="18:41" x14ac:dyDescent="0.25">
      <c r="R522" t="s">
        <v>1737</v>
      </c>
      <c r="T522" t="s">
        <v>1741</v>
      </c>
      <c r="AC522">
        <v>12</v>
      </c>
      <c r="AD522">
        <f t="shared" si="63"/>
        <v>0.15000000000000002</v>
      </c>
      <c r="AE522">
        <f t="shared" si="67"/>
        <v>5.1000000000000005</v>
      </c>
      <c r="AF522">
        <v>8</v>
      </c>
      <c r="AG522">
        <f t="shared" si="65"/>
        <v>13.100000000000001</v>
      </c>
      <c r="AI522">
        <v>12</v>
      </c>
      <c r="AJ522">
        <v>1</v>
      </c>
      <c r="AK522">
        <f t="shared" si="68"/>
        <v>18.500000000000004</v>
      </c>
      <c r="AM522">
        <v>7</v>
      </c>
      <c r="AN522">
        <f t="shared" si="69"/>
        <v>0.8</v>
      </c>
      <c r="AO522">
        <f t="shared" si="70"/>
        <v>9.1</v>
      </c>
    </row>
    <row r="523" spans="18:41" x14ac:dyDescent="0.25">
      <c r="R523" t="s">
        <v>1738</v>
      </c>
      <c r="T523" t="s">
        <v>1739</v>
      </c>
      <c r="AC523" t="s">
        <v>1900</v>
      </c>
      <c r="AI523" t="s">
        <v>1900</v>
      </c>
      <c r="AM523">
        <v>8</v>
      </c>
      <c r="AN523">
        <f t="shared" si="69"/>
        <v>0.85000000000000009</v>
      </c>
      <c r="AO523">
        <f t="shared" si="70"/>
        <v>10.8</v>
      </c>
    </row>
    <row r="524" spans="18:41" x14ac:dyDescent="0.25">
      <c r="R524" t="s">
        <v>1742</v>
      </c>
      <c r="T524" t="s">
        <v>1798</v>
      </c>
      <c r="AC524">
        <v>0</v>
      </c>
      <c r="AD524" t="s">
        <v>1896</v>
      </c>
      <c r="AE524" t="s">
        <v>1234</v>
      </c>
      <c r="AF524" t="s">
        <v>1897</v>
      </c>
      <c r="AG524" t="s">
        <v>1898</v>
      </c>
      <c r="AI524">
        <v>0</v>
      </c>
      <c r="AJ524" t="s">
        <v>1901</v>
      </c>
      <c r="AK524" t="s">
        <v>1883</v>
      </c>
      <c r="AM524">
        <v>9</v>
      </c>
      <c r="AN524">
        <f t="shared" si="69"/>
        <v>0.90000000000000013</v>
      </c>
      <c r="AO524">
        <f t="shared" si="70"/>
        <v>12.600000000000001</v>
      </c>
    </row>
    <row r="525" spans="18:41" x14ac:dyDescent="0.25">
      <c r="R525" t="s">
        <v>1743</v>
      </c>
      <c r="T525" t="s">
        <v>1798</v>
      </c>
      <c r="AC525">
        <v>1</v>
      </c>
      <c r="AD525">
        <f t="shared" ref="AD525:AD536" si="71">(20-(6+5+AC524))/20+0.05+0.2+0.1</f>
        <v>0.79999999999999993</v>
      </c>
      <c r="AE525">
        <f>1*AD525</f>
        <v>0.79999999999999993</v>
      </c>
      <c r="AF525">
        <f t="shared" ref="AF525:AF534" si="72">AC525</f>
        <v>1</v>
      </c>
      <c r="AG525">
        <f t="shared" ref="AG525:AG536" si="73">AE525+AF525</f>
        <v>1.7999999999999998</v>
      </c>
      <c r="AI525">
        <v>1</v>
      </c>
      <c r="AJ525">
        <f t="shared" ref="AJ525:AJ533" si="74">AJ497+0.2+0.1</f>
        <v>0.6</v>
      </c>
      <c r="AK525">
        <f>2*AJ525</f>
        <v>1.2</v>
      </c>
      <c r="AM525">
        <v>10</v>
      </c>
      <c r="AN525">
        <f t="shared" si="69"/>
        <v>0.95000000000000018</v>
      </c>
      <c r="AO525">
        <f t="shared" si="70"/>
        <v>14.500000000000002</v>
      </c>
    </row>
    <row r="526" spans="18:41" x14ac:dyDescent="0.25">
      <c r="R526" t="s">
        <v>1744</v>
      </c>
      <c r="T526" t="s">
        <v>1798</v>
      </c>
      <c r="AC526">
        <v>2</v>
      </c>
      <c r="AD526">
        <f t="shared" si="71"/>
        <v>0.75</v>
      </c>
      <c r="AE526">
        <f t="shared" ref="AE526:AE536" si="75">1*AD526+AE525</f>
        <v>1.5499999999999998</v>
      </c>
      <c r="AF526">
        <f t="shared" si="72"/>
        <v>2</v>
      </c>
      <c r="AG526">
        <f t="shared" si="73"/>
        <v>3.55</v>
      </c>
      <c r="AI526">
        <v>2</v>
      </c>
      <c r="AJ526">
        <f t="shared" si="74"/>
        <v>0.65</v>
      </c>
      <c r="AK526">
        <f t="shared" ref="AK526:AK536" si="76">2*AJ526+AK525</f>
        <v>2.5</v>
      </c>
      <c r="AM526">
        <v>11</v>
      </c>
      <c r="AN526">
        <f t="shared" si="69"/>
        <v>1.0000000000000002</v>
      </c>
      <c r="AO526">
        <f t="shared" si="70"/>
        <v>16.500000000000004</v>
      </c>
    </row>
    <row r="527" spans="18:41" x14ac:dyDescent="0.25">
      <c r="R527" t="s">
        <v>1745</v>
      </c>
      <c r="T527" t="s">
        <v>1798</v>
      </c>
      <c r="AC527">
        <v>3</v>
      </c>
      <c r="AD527">
        <f t="shared" si="71"/>
        <v>0.7</v>
      </c>
      <c r="AE527">
        <f t="shared" si="75"/>
        <v>2.25</v>
      </c>
      <c r="AF527">
        <f t="shared" si="72"/>
        <v>3</v>
      </c>
      <c r="AG527">
        <f t="shared" si="73"/>
        <v>5.25</v>
      </c>
      <c r="AI527">
        <v>3</v>
      </c>
      <c r="AJ527">
        <f t="shared" si="74"/>
        <v>0.7</v>
      </c>
      <c r="AK527">
        <f t="shared" si="76"/>
        <v>3.9</v>
      </c>
      <c r="AM527">
        <v>12</v>
      </c>
      <c r="AN527">
        <v>1</v>
      </c>
      <c r="AO527">
        <f t="shared" si="70"/>
        <v>18.500000000000004</v>
      </c>
    </row>
    <row r="528" spans="18:41" x14ac:dyDescent="0.25">
      <c r="R528" t="s">
        <v>1746</v>
      </c>
      <c r="T528" t="s">
        <v>1747</v>
      </c>
      <c r="AC528">
        <v>4</v>
      </c>
      <c r="AD528">
        <f t="shared" si="71"/>
        <v>0.65</v>
      </c>
      <c r="AE528">
        <f t="shared" si="75"/>
        <v>2.9</v>
      </c>
      <c r="AF528">
        <f t="shared" si="72"/>
        <v>4</v>
      </c>
      <c r="AG528">
        <f t="shared" si="73"/>
        <v>6.9</v>
      </c>
      <c r="AI528">
        <v>4</v>
      </c>
      <c r="AJ528">
        <f t="shared" si="74"/>
        <v>0.74999999999999989</v>
      </c>
      <c r="AK528">
        <f t="shared" si="76"/>
        <v>5.3999999999999995</v>
      </c>
      <c r="AM528">
        <v>13</v>
      </c>
      <c r="AN528">
        <v>1</v>
      </c>
      <c r="AO528">
        <f t="shared" si="70"/>
        <v>20.500000000000004</v>
      </c>
    </row>
    <row r="529" spans="18:41" x14ac:dyDescent="0.25">
      <c r="R529" t="s">
        <v>1748</v>
      </c>
      <c r="T529" t="s">
        <v>1798</v>
      </c>
      <c r="AC529">
        <v>5</v>
      </c>
      <c r="AD529">
        <f t="shared" si="71"/>
        <v>0.6</v>
      </c>
      <c r="AE529">
        <f t="shared" si="75"/>
        <v>3.5</v>
      </c>
      <c r="AF529">
        <f t="shared" si="72"/>
        <v>5</v>
      </c>
      <c r="AG529">
        <f t="shared" si="73"/>
        <v>8.5</v>
      </c>
      <c r="AI529">
        <v>5</v>
      </c>
      <c r="AJ529">
        <f t="shared" si="74"/>
        <v>0.79999999999999993</v>
      </c>
      <c r="AK529">
        <f t="shared" si="76"/>
        <v>6.9999999999999991</v>
      </c>
      <c r="AM529">
        <v>14</v>
      </c>
      <c r="AN529">
        <v>1</v>
      </c>
      <c r="AO529">
        <f t="shared" si="70"/>
        <v>22.500000000000004</v>
      </c>
    </row>
    <row r="530" spans="18:41" x14ac:dyDescent="0.25">
      <c r="R530" t="s">
        <v>1247</v>
      </c>
      <c r="T530" t="s">
        <v>985</v>
      </c>
      <c r="AC530">
        <v>6</v>
      </c>
      <c r="AD530">
        <f t="shared" si="71"/>
        <v>0.55000000000000004</v>
      </c>
      <c r="AE530">
        <f t="shared" si="75"/>
        <v>4.05</v>
      </c>
      <c r="AF530">
        <f t="shared" si="72"/>
        <v>6</v>
      </c>
      <c r="AG530">
        <f t="shared" si="73"/>
        <v>10.050000000000001</v>
      </c>
      <c r="AI530">
        <v>6</v>
      </c>
      <c r="AJ530">
        <f t="shared" si="74"/>
        <v>0.85</v>
      </c>
      <c r="AK530">
        <f t="shared" si="76"/>
        <v>8.6999999999999993</v>
      </c>
      <c r="AM530">
        <v>15</v>
      </c>
      <c r="AN530">
        <v>1</v>
      </c>
      <c r="AO530">
        <f t="shared" si="70"/>
        <v>24.500000000000004</v>
      </c>
    </row>
    <row r="531" spans="18:41" x14ac:dyDescent="0.25">
      <c r="AC531">
        <v>7</v>
      </c>
      <c r="AD531">
        <f t="shared" si="71"/>
        <v>0.5</v>
      </c>
      <c r="AE531">
        <f t="shared" si="75"/>
        <v>4.55</v>
      </c>
      <c r="AF531">
        <f t="shared" si="72"/>
        <v>7</v>
      </c>
      <c r="AG531">
        <f t="shared" si="73"/>
        <v>11.55</v>
      </c>
      <c r="AI531">
        <v>7</v>
      </c>
      <c r="AJ531">
        <f t="shared" si="74"/>
        <v>0.9</v>
      </c>
      <c r="AK531">
        <f t="shared" si="76"/>
        <v>10.5</v>
      </c>
      <c r="AM531">
        <v>16</v>
      </c>
      <c r="AN531">
        <v>1</v>
      </c>
      <c r="AO531">
        <f t="shared" si="70"/>
        <v>26.500000000000004</v>
      </c>
    </row>
    <row r="532" spans="18:41" x14ac:dyDescent="0.25">
      <c r="R532" t="s">
        <v>818</v>
      </c>
      <c r="AC532">
        <v>8</v>
      </c>
      <c r="AD532">
        <f t="shared" si="71"/>
        <v>0.45000000000000007</v>
      </c>
      <c r="AE532">
        <f t="shared" si="75"/>
        <v>5</v>
      </c>
      <c r="AF532">
        <f t="shared" si="72"/>
        <v>8</v>
      </c>
      <c r="AG532">
        <f t="shared" si="73"/>
        <v>13</v>
      </c>
      <c r="AI532">
        <v>8</v>
      </c>
      <c r="AJ532">
        <f t="shared" si="74"/>
        <v>0.95000000000000007</v>
      </c>
      <c r="AK532">
        <f t="shared" si="76"/>
        <v>12.4</v>
      </c>
    </row>
    <row r="533" spans="18:41" x14ac:dyDescent="0.25">
      <c r="R533" t="s">
        <v>1080</v>
      </c>
      <c r="T533" t="s">
        <v>1754</v>
      </c>
      <c r="AC533">
        <v>9</v>
      </c>
      <c r="AD533">
        <f t="shared" si="71"/>
        <v>0.4</v>
      </c>
      <c r="AE533">
        <f t="shared" si="75"/>
        <v>5.4</v>
      </c>
      <c r="AF533">
        <f t="shared" si="72"/>
        <v>9</v>
      </c>
      <c r="AG533">
        <f t="shared" si="73"/>
        <v>14.4</v>
      </c>
      <c r="AI533">
        <v>9</v>
      </c>
      <c r="AJ533">
        <f t="shared" si="74"/>
        <v>1.0000000000000002</v>
      </c>
      <c r="AK533">
        <f t="shared" si="76"/>
        <v>14.4</v>
      </c>
      <c r="AM533">
        <v>0</v>
      </c>
      <c r="AN533" t="s">
        <v>1901</v>
      </c>
      <c r="AO533" t="s">
        <v>1883</v>
      </c>
    </row>
    <row r="534" spans="18:41" x14ac:dyDescent="0.25">
      <c r="R534" t="s">
        <v>1674</v>
      </c>
      <c r="T534" t="s">
        <v>1750</v>
      </c>
      <c r="AC534">
        <v>10</v>
      </c>
      <c r="AD534">
        <f t="shared" si="71"/>
        <v>0.35</v>
      </c>
      <c r="AE534">
        <f t="shared" si="75"/>
        <v>5.75</v>
      </c>
      <c r="AF534">
        <f t="shared" si="72"/>
        <v>10</v>
      </c>
      <c r="AG534">
        <f t="shared" si="73"/>
        <v>15.75</v>
      </c>
      <c r="AI534">
        <v>10</v>
      </c>
      <c r="AJ534">
        <v>1</v>
      </c>
      <c r="AK534">
        <f t="shared" si="76"/>
        <v>16.399999999999999</v>
      </c>
      <c r="AM534">
        <v>1</v>
      </c>
      <c r="AN534">
        <f t="shared" ref="AN534:AN542" si="77">AN516+0.1</f>
        <v>0.6</v>
      </c>
      <c r="AO534">
        <f>2*AN534</f>
        <v>1.2</v>
      </c>
    </row>
    <row r="535" spans="18:41" x14ac:dyDescent="0.25">
      <c r="R535" t="s">
        <v>1755</v>
      </c>
      <c r="T535" t="s">
        <v>1760</v>
      </c>
      <c r="AC535">
        <v>11</v>
      </c>
      <c r="AD535">
        <f t="shared" si="71"/>
        <v>0.30000000000000004</v>
      </c>
      <c r="AE535">
        <f t="shared" si="75"/>
        <v>6.05</v>
      </c>
      <c r="AF535">
        <v>9</v>
      </c>
      <c r="AG535">
        <f t="shared" si="73"/>
        <v>15.05</v>
      </c>
      <c r="AI535">
        <v>11</v>
      </c>
      <c r="AJ535">
        <v>1</v>
      </c>
      <c r="AK535">
        <f t="shared" si="76"/>
        <v>18.399999999999999</v>
      </c>
      <c r="AM535">
        <v>2</v>
      </c>
      <c r="AN535">
        <f t="shared" si="77"/>
        <v>0.65</v>
      </c>
      <c r="AO535">
        <f t="shared" ref="AO535:AO549" si="78">2*AN535+AO534</f>
        <v>2.5</v>
      </c>
    </row>
    <row r="536" spans="18:41" x14ac:dyDescent="0.25">
      <c r="R536" t="s">
        <v>1756</v>
      </c>
      <c r="T536" t="s">
        <v>1759</v>
      </c>
      <c r="AC536">
        <v>12</v>
      </c>
      <c r="AD536">
        <f t="shared" si="71"/>
        <v>0.25</v>
      </c>
      <c r="AE536">
        <f t="shared" si="75"/>
        <v>6.3</v>
      </c>
      <c r="AF536">
        <v>8</v>
      </c>
      <c r="AG536">
        <f t="shared" si="73"/>
        <v>14.3</v>
      </c>
      <c r="AI536">
        <v>12</v>
      </c>
      <c r="AJ536">
        <v>1</v>
      </c>
      <c r="AK536">
        <f t="shared" si="76"/>
        <v>20.399999999999999</v>
      </c>
      <c r="AM536">
        <v>3</v>
      </c>
      <c r="AN536">
        <f t="shared" si="77"/>
        <v>0.7</v>
      </c>
      <c r="AO536">
        <f t="shared" si="78"/>
        <v>3.9</v>
      </c>
    </row>
    <row r="537" spans="18:41" x14ac:dyDescent="0.25">
      <c r="R537" t="s">
        <v>1140</v>
      </c>
      <c r="T537" t="s">
        <v>1752</v>
      </c>
      <c r="AM537">
        <v>4</v>
      </c>
      <c r="AN537">
        <f t="shared" si="77"/>
        <v>0.74999999999999989</v>
      </c>
      <c r="AO537">
        <f t="shared" si="78"/>
        <v>5.3999999999999995</v>
      </c>
    </row>
    <row r="538" spans="18:41" x14ac:dyDescent="0.25">
      <c r="R538" t="s">
        <v>1757</v>
      </c>
      <c r="T538" t="s">
        <v>1754</v>
      </c>
      <c r="AM538">
        <v>5</v>
      </c>
      <c r="AN538">
        <f t="shared" si="77"/>
        <v>0.79999999999999993</v>
      </c>
      <c r="AO538">
        <f t="shared" si="78"/>
        <v>6.9999999999999991</v>
      </c>
    </row>
    <row r="539" spans="18:41" x14ac:dyDescent="0.25">
      <c r="R539" t="s">
        <v>1143</v>
      </c>
      <c r="T539" t="s">
        <v>75</v>
      </c>
      <c r="AM539">
        <v>6</v>
      </c>
      <c r="AN539">
        <f t="shared" si="77"/>
        <v>0.85</v>
      </c>
      <c r="AO539">
        <f t="shared" si="78"/>
        <v>8.6999999999999993</v>
      </c>
    </row>
    <row r="540" spans="18:41" x14ac:dyDescent="0.25">
      <c r="R540" t="s">
        <v>991</v>
      </c>
      <c r="T540" t="s">
        <v>1758</v>
      </c>
      <c r="AB540">
        <f>24*5+6</f>
        <v>126</v>
      </c>
      <c r="AM540">
        <v>7</v>
      </c>
      <c r="AN540">
        <f t="shared" si="77"/>
        <v>0.9</v>
      </c>
      <c r="AO540">
        <f t="shared" si="78"/>
        <v>10.5</v>
      </c>
    </row>
    <row r="541" spans="18:41" x14ac:dyDescent="0.25">
      <c r="R541" t="s">
        <v>1761</v>
      </c>
      <c r="T541" t="s">
        <v>1767</v>
      </c>
      <c r="AM541">
        <v>8</v>
      </c>
      <c r="AN541">
        <f t="shared" si="77"/>
        <v>0.95000000000000007</v>
      </c>
      <c r="AO541">
        <f t="shared" si="78"/>
        <v>12.4</v>
      </c>
    </row>
    <row r="542" spans="18:41" x14ac:dyDescent="0.25">
      <c r="R542" t="s">
        <v>1762</v>
      </c>
      <c r="T542" t="s">
        <v>1766</v>
      </c>
      <c r="AM542">
        <v>9</v>
      </c>
      <c r="AN542">
        <f t="shared" si="77"/>
        <v>1.0000000000000002</v>
      </c>
      <c r="AO542">
        <f t="shared" si="78"/>
        <v>14.4</v>
      </c>
    </row>
    <row r="543" spans="18:41" x14ac:dyDescent="0.25">
      <c r="R543" t="s">
        <v>1556</v>
      </c>
      <c r="T543" t="s">
        <v>1765</v>
      </c>
      <c r="AM543">
        <v>10</v>
      </c>
      <c r="AN543">
        <v>1</v>
      </c>
      <c r="AO543">
        <f t="shared" si="78"/>
        <v>16.399999999999999</v>
      </c>
    </row>
    <row r="544" spans="18:41" x14ac:dyDescent="0.25">
      <c r="R544" t="s">
        <v>1763</v>
      </c>
      <c r="T544" t="s">
        <v>1764</v>
      </c>
      <c r="AM544">
        <v>11</v>
      </c>
      <c r="AN544">
        <v>1</v>
      </c>
      <c r="AO544">
        <f t="shared" si="78"/>
        <v>18.399999999999999</v>
      </c>
    </row>
    <row r="545" spans="18:41" x14ac:dyDescent="0.25">
      <c r="R545" t="s">
        <v>1768</v>
      </c>
      <c r="AM545">
        <v>12</v>
      </c>
      <c r="AN545">
        <v>1</v>
      </c>
      <c r="AO545">
        <f t="shared" si="78"/>
        <v>20.399999999999999</v>
      </c>
    </row>
    <row r="546" spans="18:41" x14ac:dyDescent="0.25">
      <c r="R546" t="s">
        <v>1769</v>
      </c>
      <c r="T546" t="s">
        <v>1773</v>
      </c>
      <c r="AM546">
        <v>13</v>
      </c>
      <c r="AN546">
        <v>1</v>
      </c>
      <c r="AO546">
        <f t="shared" si="78"/>
        <v>22.4</v>
      </c>
    </row>
    <row r="547" spans="18:41" x14ac:dyDescent="0.25">
      <c r="R547" t="s">
        <v>1770</v>
      </c>
      <c r="T547" t="s">
        <v>1772</v>
      </c>
      <c r="AM547">
        <v>14</v>
      </c>
      <c r="AN547">
        <v>1</v>
      </c>
      <c r="AO547">
        <f t="shared" si="78"/>
        <v>24.4</v>
      </c>
    </row>
    <row r="548" spans="18:41" x14ac:dyDescent="0.25">
      <c r="R548" t="s">
        <v>1771</v>
      </c>
      <c r="T548" t="s">
        <v>840</v>
      </c>
      <c r="AM548">
        <v>15</v>
      </c>
      <c r="AN548">
        <v>1</v>
      </c>
      <c r="AO548">
        <f t="shared" si="78"/>
        <v>26.4</v>
      </c>
    </row>
    <row r="549" spans="18:41" x14ac:dyDescent="0.25">
      <c r="R549" t="s">
        <v>1774</v>
      </c>
      <c r="T549" t="s">
        <v>1775</v>
      </c>
      <c r="AM549">
        <v>16</v>
      </c>
      <c r="AN549">
        <v>1</v>
      </c>
      <c r="AO549">
        <f t="shared" si="78"/>
        <v>28.4</v>
      </c>
    </row>
    <row r="550" spans="18:41" x14ac:dyDescent="0.25">
      <c r="R550" t="s">
        <v>814</v>
      </c>
      <c r="T550" t="s">
        <v>1776</v>
      </c>
    </row>
    <row r="551" spans="18:41" x14ac:dyDescent="0.25">
      <c r="R551" t="s">
        <v>819</v>
      </c>
      <c r="T551" t="s">
        <v>1749</v>
      </c>
    </row>
    <row r="552" spans="18:41" x14ac:dyDescent="0.25">
      <c r="R552" t="s">
        <v>1777</v>
      </c>
      <c r="T552" t="s">
        <v>946</v>
      </c>
    </row>
    <row r="553" spans="18:41" x14ac:dyDescent="0.25">
      <c r="R553" t="s">
        <v>1778</v>
      </c>
      <c r="T553" t="s">
        <v>1785</v>
      </c>
    </row>
    <row r="554" spans="18:41" x14ac:dyDescent="0.25">
      <c r="R554" t="s">
        <v>1779</v>
      </c>
      <c r="T554" t="s">
        <v>903</v>
      </c>
    </row>
    <row r="555" spans="18:41" x14ac:dyDescent="0.25">
      <c r="R555" t="s">
        <v>1780</v>
      </c>
      <c r="T555" t="s">
        <v>1436</v>
      </c>
    </row>
    <row r="556" spans="18:41" x14ac:dyDescent="0.25">
      <c r="R556" t="s">
        <v>1781</v>
      </c>
      <c r="T556" t="s">
        <v>939</v>
      </c>
    </row>
    <row r="557" spans="18:41" x14ac:dyDescent="0.25">
      <c r="R557" t="s">
        <v>1782</v>
      </c>
      <c r="T557" t="s">
        <v>1786</v>
      </c>
    </row>
    <row r="558" spans="18:41" x14ac:dyDescent="0.25">
      <c r="R558" t="s">
        <v>1783</v>
      </c>
      <c r="T558" t="s">
        <v>850</v>
      </c>
    </row>
    <row r="559" spans="18:41" x14ac:dyDescent="0.25">
      <c r="R559" t="s">
        <v>1784</v>
      </c>
      <c r="T559" t="s">
        <v>935</v>
      </c>
    </row>
    <row r="560" spans="18:41" x14ac:dyDescent="0.25">
      <c r="R560" t="s">
        <v>1787</v>
      </c>
      <c r="T560" t="s">
        <v>925</v>
      </c>
    </row>
    <row r="561" spans="18:20" x14ac:dyDescent="0.25">
      <c r="R561" t="s">
        <v>1572</v>
      </c>
      <c r="T561" t="s">
        <v>1788</v>
      </c>
    </row>
    <row r="562" spans="18:20" x14ac:dyDescent="0.25">
      <c r="R562" t="s">
        <v>992</v>
      </c>
      <c r="T562" t="s">
        <v>1789</v>
      </c>
    </row>
    <row r="563" spans="18:20" x14ac:dyDescent="0.25">
      <c r="R563" t="s">
        <v>1141</v>
      </c>
      <c r="T563" t="s">
        <v>1753</v>
      </c>
    </row>
    <row r="564" spans="18:20" x14ac:dyDescent="0.25">
      <c r="R564" t="s">
        <v>1790</v>
      </c>
      <c r="T564" t="s">
        <v>1792</v>
      </c>
    </row>
    <row r="565" spans="18:20" x14ac:dyDescent="0.25">
      <c r="R565" t="s">
        <v>1081</v>
      </c>
      <c r="T565" t="s">
        <v>1791</v>
      </c>
    </row>
    <row r="566" spans="18:20" x14ac:dyDescent="0.25">
      <c r="R566" t="s">
        <v>1793</v>
      </c>
      <c r="T566" t="s">
        <v>1794</v>
      </c>
    </row>
    <row r="567" spans="18:20" x14ac:dyDescent="0.25">
      <c r="R567" t="s">
        <v>1795</v>
      </c>
      <c r="T567" t="s">
        <v>1796</v>
      </c>
    </row>
    <row r="568" spans="18:20" x14ac:dyDescent="0.25">
      <c r="R568" t="s">
        <v>1142</v>
      </c>
      <c r="T568" t="s">
        <v>1797</v>
      </c>
    </row>
    <row r="569" spans="18:20" x14ac:dyDescent="0.25">
      <c r="R569" t="s">
        <v>1079</v>
      </c>
      <c r="T569" t="s">
        <v>1751</v>
      </c>
    </row>
    <row r="570" spans="18:20" x14ac:dyDescent="0.25">
      <c r="R570" t="s">
        <v>987</v>
      </c>
      <c r="T570" t="s">
        <v>903</v>
      </c>
    </row>
    <row r="572" spans="18:20" x14ac:dyDescent="0.25">
      <c r="R572" t="s">
        <v>1888</v>
      </c>
    </row>
    <row r="573" spans="18:20" x14ac:dyDescent="0.25">
      <c r="R573" t="s">
        <v>31</v>
      </c>
      <c r="T573" t="s">
        <v>689</v>
      </c>
    </row>
    <row r="574" spans="18:20" x14ac:dyDescent="0.25">
      <c r="R574" t="s">
        <v>1078</v>
      </c>
      <c r="T574" t="s">
        <v>1884</v>
      </c>
    </row>
    <row r="575" spans="18:20" x14ac:dyDescent="0.25">
      <c r="R575" t="s">
        <v>618</v>
      </c>
      <c r="T575" t="s">
        <v>900</v>
      </c>
    </row>
    <row r="576" spans="18:20" x14ac:dyDescent="0.25">
      <c r="R576" t="s">
        <v>617</v>
      </c>
      <c r="T576" t="s">
        <v>902</v>
      </c>
    </row>
    <row r="577" spans="18:20" x14ac:dyDescent="0.25">
      <c r="R577" t="s">
        <v>619</v>
      </c>
      <c r="T577" t="s">
        <v>1887</v>
      </c>
    </row>
    <row r="578" spans="18:20" x14ac:dyDescent="0.25">
      <c r="R578" t="s">
        <v>1598</v>
      </c>
      <c r="T578" t="s">
        <v>1885</v>
      </c>
    </row>
    <row r="579" spans="18:20" x14ac:dyDescent="0.25">
      <c r="R579" t="s">
        <v>1801</v>
      </c>
      <c r="T579" t="s">
        <v>878</v>
      </c>
    </row>
    <row r="580" spans="18:20" x14ac:dyDescent="0.25">
      <c r="R580" t="s">
        <v>1082</v>
      </c>
      <c r="T580" t="s">
        <v>1798</v>
      </c>
    </row>
    <row r="581" spans="18:20" x14ac:dyDescent="0.25">
      <c r="R581" t="s">
        <v>512</v>
      </c>
      <c r="T581" t="s">
        <v>933</v>
      </c>
    </row>
    <row r="582" spans="18:20" x14ac:dyDescent="0.25">
      <c r="R582" t="s">
        <v>1807</v>
      </c>
      <c r="T582" t="s">
        <v>930</v>
      </c>
    </row>
    <row r="584" spans="18:20" x14ac:dyDescent="0.25">
      <c r="R584" t="s">
        <v>1889</v>
      </c>
    </row>
    <row r="585" spans="18:20" x14ac:dyDescent="0.25">
      <c r="R585" t="s">
        <v>31</v>
      </c>
      <c r="T585" t="s">
        <v>847</v>
      </c>
    </row>
    <row r="586" spans="18:20" x14ac:dyDescent="0.25">
      <c r="R586" t="s">
        <v>1078</v>
      </c>
      <c r="T586" t="s">
        <v>1890</v>
      </c>
    </row>
    <row r="587" spans="18:20" x14ac:dyDescent="0.25">
      <c r="R587" t="s">
        <v>618</v>
      </c>
      <c r="T587" t="s">
        <v>893</v>
      </c>
    </row>
    <row r="588" spans="18:20" x14ac:dyDescent="0.25">
      <c r="R588" t="s">
        <v>617</v>
      </c>
      <c r="T588" t="s">
        <v>896</v>
      </c>
    </row>
    <row r="589" spans="18:20" x14ac:dyDescent="0.25">
      <c r="R589" t="s">
        <v>619</v>
      </c>
      <c r="T589" t="s">
        <v>1891</v>
      </c>
    </row>
    <row r="590" spans="18:20" x14ac:dyDescent="0.25">
      <c r="R590" t="s">
        <v>1598</v>
      </c>
      <c r="T590" t="s">
        <v>1892</v>
      </c>
    </row>
    <row r="591" spans="18:20" x14ac:dyDescent="0.25">
      <c r="R591" t="s">
        <v>1801</v>
      </c>
      <c r="T591" t="s">
        <v>1893</v>
      </c>
    </row>
    <row r="592" spans="18:20" x14ac:dyDescent="0.25">
      <c r="R592" t="s">
        <v>1082</v>
      </c>
      <c r="T592" t="s">
        <v>1886</v>
      </c>
    </row>
    <row r="593" spans="18:20" x14ac:dyDescent="0.25">
      <c r="R593" t="s">
        <v>512</v>
      </c>
      <c r="T593" t="s">
        <v>1894</v>
      </c>
    </row>
    <row r="594" spans="18:20" x14ac:dyDescent="0.25">
      <c r="R594" t="s">
        <v>1807</v>
      </c>
      <c r="T594" t="s">
        <v>1895</v>
      </c>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2:AE193"/>
  <sheetViews>
    <sheetView topLeftCell="B1" workbookViewId="0">
      <selection activeCell="M49" sqref="M49"/>
    </sheetView>
  </sheetViews>
  <sheetFormatPr defaultRowHeight="15" x14ac:dyDescent="0.25"/>
  <cols>
    <col min="1" max="16384" width="9.140625" style="1"/>
  </cols>
  <sheetData>
    <row r="2" spans="1:20" x14ac:dyDescent="0.25">
      <c r="B2" s="1">
        <v>1</v>
      </c>
      <c r="C2" s="1">
        <v>2</v>
      </c>
      <c r="D2" s="1">
        <v>3</v>
      </c>
      <c r="E2" s="1">
        <v>4</v>
      </c>
      <c r="F2" s="1">
        <v>5</v>
      </c>
      <c r="G2" s="1">
        <v>6</v>
      </c>
      <c r="H2" s="1">
        <v>7</v>
      </c>
      <c r="I2" s="1">
        <v>8</v>
      </c>
      <c r="J2" s="1">
        <v>9</v>
      </c>
      <c r="L2" s="1">
        <v>1</v>
      </c>
      <c r="M2" s="1">
        <v>2</v>
      </c>
      <c r="N2" s="1">
        <v>3</v>
      </c>
      <c r="O2" s="1">
        <v>4</v>
      </c>
      <c r="P2" s="1">
        <v>5</v>
      </c>
      <c r="Q2" s="1">
        <v>6</v>
      </c>
      <c r="R2" s="1">
        <v>7</v>
      </c>
      <c r="S2" s="1">
        <v>8</v>
      </c>
      <c r="T2" s="1">
        <v>9</v>
      </c>
    </row>
    <row r="3" spans="1:20" x14ac:dyDescent="0.25">
      <c r="B3" s="1" t="s">
        <v>830</v>
      </c>
      <c r="C3" s="1" t="s">
        <v>835</v>
      </c>
      <c r="D3" s="1" t="s">
        <v>839</v>
      </c>
      <c r="E3" s="1" t="s">
        <v>844</v>
      </c>
      <c r="F3" s="1" t="s">
        <v>847</v>
      </c>
      <c r="G3" s="1" t="s">
        <v>681</v>
      </c>
      <c r="H3" s="1" t="s">
        <v>857</v>
      </c>
      <c r="I3" s="1" t="s">
        <v>861</v>
      </c>
      <c r="J3" s="1" t="s">
        <v>747</v>
      </c>
      <c r="L3" s="1" t="s">
        <v>921</v>
      </c>
      <c r="M3" s="1" t="s">
        <v>925</v>
      </c>
      <c r="N3" s="1" t="s">
        <v>930</v>
      </c>
      <c r="O3" s="1" t="s">
        <v>674</v>
      </c>
      <c r="P3" s="1" t="s">
        <v>940</v>
      </c>
      <c r="Q3" s="1" t="s">
        <v>945</v>
      </c>
      <c r="R3" s="1" t="s">
        <v>949</v>
      </c>
      <c r="S3" s="1" t="s">
        <v>954</v>
      </c>
      <c r="T3" s="1" t="s">
        <v>960</v>
      </c>
    </row>
    <row r="4" spans="1:20" x14ac:dyDescent="0.25">
      <c r="B4" s="1" t="s">
        <v>831</v>
      </c>
      <c r="C4" s="1" t="s">
        <v>682</v>
      </c>
      <c r="D4" s="1" t="s">
        <v>931</v>
      </c>
      <c r="E4" s="1" t="s">
        <v>734</v>
      </c>
      <c r="F4" s="1" t="s">
        <v>848</v>
      </c>
      <c r="G4" s="1" t="s">
        <v>852</v>
      </c>
      <c r="H4" s="1" t="s">
        <v>856</v>
      </c>
      <c r="I4" s="1" t="s">
        <v>862</v>
      </c>
      <c r="J4" s="1" t="s">
        <v>750</v>
      </c>
      <c r="L4" s="1" t="s">
        <v>922</v>
      </c>
      <c r="M4" s="1" t="s">
        <v>926</v>
      </c>
      <c r="N4" s="1" t="s">
        <v>840</v>
      </c>
      <c r="O4" s="1" t="s">
        <v>936</v>
      </c>
      <c r="P4" s="1" t="s">
        <v>941</v>
      </c>
      <c r="Q4" s="1" t="s">
        <v>1031</v>
      </c>
      <c r="R4" s="1" t="s">
        <v>859</v>
      </c>
      <c r="S4" s="1" t="s">
        <v>955</v>
      </c>
      <c r="T4" s="1" t="s">
        <v>961</v>
      </c>
    </row>
    <row r="5" spans="1:20" x14ac:dyDescent="0.25">
      <c r="B5" s="1" t="s">
        <v>832</v>
      </c>
      <c r="C5" s="1" t="s">
        <v>836</v>
      </c>
      <c r="D5" s="1" t="s">
        <v>841</v>
      </c>
      <c r="E5" s="1" t="s">
        <v>845</v>
      </c>
      <c r="F5" s="1" t="s">
        <v>849</v>
      </c>
      <c r="G5" s="1" t="s">
        <v>853</v>
      </c>
      <c r="H5" s="1" t="s">
        <v>858</v>
      </c>
      <c r="I5" s="1" t="s">
        <v>746</v>
      </c>
      <c r="J5" s="1" t="s">
        <v>865</v>
      </c>
      <c r="L5" s="1" t="s">
        <v>923</v>
      </c>
      <c r="M5" s="1" t="s">
        <v>927</v>
      </c>
      <c r="N5" s="1" t="s">
        <v>932</v>
      </c>
      <c r="O5" s="1" t="s">
        <v>937</v>
      </c>
      <c r="P5" s="1" t="s">
        <v>942</v>
      </c>
      <c r="Q5" s="1" t="s">
        <v>946</v>
      </c>
      <c r="R5" s="1" t="s">
        <v>951</v>
      </c>
      <c r="S5" s="1" t="s">
        <v>956</v>
      </c>
      <c r="T5" s="1" t="s">
        <v>962</v>
      </c>
    </row>
    <row r="6" spans="1:20" x14ac:dyDescent="0.25">
      <c r="B6" s="1" t="s">
        <v>833</v>
      </c>
      <c r="C6" s="1" t="s">
        <v>837</v>
      </c>
      <c r="D6" s="1" t="s">
        <v>842</v>
      </c>
      <c r="E6" s="1" t="s">
        <v>846</v>
      </c>
      <c r="F6" s="1" t="s">
        <v>850</v>
      </c>
      <c r="G6" s="1" t="s">
        <v>854</v>
      </c>
      <c r="H6" s="1" t="s">
        <v>950</v>
      </c>
      <c r="I6" s="1" t="s">
        <v>863</v>
      </c>
      <c r="J6" s="1" t="s">
        <v>557</v>
      </c>
      <c r="L6" s="1" t="s">
        <v>726</v>
      </c>
      <c r="M6" s="1" t="s">
        <v>928</v>
      </c>
      <c r="N6" s="1" t="s">
        <v>933</v>
      </c>
      <c r="O6" s="1" t="s">
        <v>935</v>
      </c>
      <c r="P6" s="1" t="s">
        <v>943</v>
      </c>
      <c r="Q6" s="1" t="s">
        <v>947</v>
      </c>
      <c r="R6" s="1" t="s">
        <v>952</v>
      </c>
      <c r="S6" s="1" t="s">
        <v>957</v>
      </c>
      <c r="T6" s="1" t="s">
        <v>963</v>
      </c>
    </row>
    <row r="7" spans="1:20" x14ac:dyDescent="0.25">
      <c r="B7" s="1" t="s">
        <v>834</v>
      </c>
      <c r="C7" s="1" t="s">
        <v>838</v>
      </c>
      <c r="D7" s="1" t="s">
        <v>843</v>
      </c>
      <c r="E7" s="1" t="s">
        <v>938</v>
      </c>
      <c r="F7" s="1" t="s">
        <v>851</v>
      </c>
      <c r="G7" s="1" t="s">
        <v>855</v>
      </c>
      <c r="H7" s="1" t="s">
        <v>860</v>
      </c>
      <c r="I7" s="1" t="s">
        <v>864</v>
      </c>
      <c r="J7" s="1" t="s">
        <v>866</v>
      </c>
      <c r="L7" s="1" t="s">
        <v>924</v>
      </c>
      <c r="M7" s="1" t="s">
        <v>929</v>
      </c>
      <c r="N7" s="1" t="s">
        <v>934</v>
      </c>
      <c r="O7" s="1" t="s">
        <v>939</v>
      </c>
      <c r="P7" s="1" t="s">
        <v>944</v>
      </c>
      <c r="Q7" s="1" t="s">
        <v>948</v>
      </c>
      <c r="R7" s="1" t="s">
        <v>953</v>
      </c>
      <c r="S7" s="1" t="s">
        <v>958</v>
      </c>
    </row>
    <row r="8" spans="1:20" x14ac:dyDescent="0.25">
      <c r="J8" s="1">
        <f>200/6</f>
        <v>33.333333333333336</v>
      </c>
      <c r="M8" s="1" t="s">
        <v>1184</v>
      </c>
      <c r="N8" s="1" t="s">
        <v>1032</v>
      </c>
      <c r="R8" s="1" t="s">
        <v>968</v>
      </c>
      <c r="S8" s="1" t="s">
        <v>959</v>
      </c>
    </row>
    <row r="9" spans="1:20" x14ac:dyDescent="0.25">
      <c r="B9" s="1" t="s">
        <v>159</v>
      </c>
      <c r="J9" s="1">
        <f>198/6</f>
        <v>33</v>
      </c>
      <c r="L9" s="1" t="s">
        <v>159</v>
      </c>
    </row>
    <row r="10" spans="1:20" x14ac:dyDescent="0.25">
      <c r="A10" s="1" t="s">
        <v>1829</v>
      </c>
      <c r="B10" s="1" t="s">
        <v>867</v>
      </c>
      <c r="C10" s="1" t="s">
        <v>873</v>
      </c>
      <c r="D10" s="1" t="s">
        <v>850</v>
      </c>
      <c r="E10" s="1" t="s">
        <v>888</v>
      </c>
      <c r="F10" s="1" t="s">
        <v>896</v>
      </c>
      <c r="G10" s="1" t="s">
        <v>904</v>
      </c>
      <c r="H10" s="1" t="s">
        <v>914</v>
      </c>
      <c r="L10" s="1" t="s">
        <v>964</v>
      </c>
      <c r="M10" s="1" t="s">
        <v>811</v>
      </c>
      <c r="N10" s="1" t="s">
        <v>885</v>
      </c>
      <c r="O10" s="1" t="s">
        <v>895</v>
      </c>
      <c r="P10" s="1" t="s">
        <v>972</v>
      </c>
      <c r="Q10" s="1" t="s">
        <v>910</v>
      </c>
      <c r="R10" s="1" t="s">
        <v>962</v>
      </c>
    </row>
    <row r="11" spans="1:20" x14ac:dyDescent="0.25">
      <c r="A11" s="1" t="s">
        <v>1830</v>
      </c>
      <c r="B11" s="1" t="s">
        <v>868</v>
      </c>
      <c r="C11" s="1" t="s">
        <v>874</v>
      </c>
      <c r="D11" s="1" t="s">
        <v>880</v>
      </c>
      <c r="E11" s="1" t="s">
        <v>889</v>
      </c>
      <c r="F11" s="1" t="s">
        <v>898</v>
      </c>
      <c r="G11" s="1" t="s">
        <v>905</v>
      </c>
      <c r="H11" s="1" t="s">
        <v>915</v>
      </c>
      <c r="L11" s="1" t="s">
        <v>726</v>
      </c>
      <c r="M11" s="1" t="s">
        <v>876</v>
      </c>
      <c r="N11" s="1" t="s">
        <v>886</v>
      </c>
      <c r="O11" s="1" t="s">
        <v>647</v>
      </c>
      <c r="P11" s="1" t="s">
        <v>973</v>
      </c>
      <c r="Q11" s="1" t="s">
        <v>981</v>
      </c>
      <c r="R11" s="1" t="s">
        <v>985</v>
      </c>
    </row>
    <row r="12" spans="1:20" x14ac:dyDescent="0.25">
      <c r="A12" s="1" t="s">
        <v>1831</v>
      </c>
      <c r="B12" s="1" t="s">
        <v>869</v>
      </c>
      <c r="C12" s="1" t="s">
        <v>875</v>
      </c>
      <c r="D12" s="1" t="s">
        <v>881</v>
      </c>
      <c r="E12" s="1" t="s">
        <v>890</v>
      </c>
      <c r="F12" s="1" t="s">
        <v>901</v>
      </c>
      <c r="G12" s="1" t="s">
        <v>906</v>
      </c>
      <c r="H12" s="1" t="s">
        <v>916</v>
      </c>
      <c r="L12" s="1" t="s">
        <v>872</v>
      </c>
      <c r="M12" s="1" t="s">
        <v>966</v>
      </c>
      <c r="N12" s="1" t="s">
        <v>883</v>
      </c>
      <c r="O12" s="1" t="s">
        <v>970</v>
      </c>
      <c r="P12" s="1" t="s">
        <v>974</v>
      </c>
      <c r="Q12" s="1" t="s">
        <v>983</v>
      </c>
      <c r="R12" s="1" t="s">
        <v>953</v>
      </c>
    </row>
    <row r="13" spans="1:20" x14ac:dyDescent="0.25">
      <c r="A13" s="1" t="s">
        <v>1832</v>
      </c>
      <c r="B13" s="1" t="s">
        <v>870</v>
      </c>
      <c r="C13" s="1" t="s">
        <v>879</v>
      </c>
      <c r="D13" s="1" t="s">
        <v>882</v>
      </c>
      <c r="E13" s="1" t="s">
        <v>891</v>
      </c>
      <c r="F13" s="1" t="s">
        <v>902</v>
      </c>
      <c r="G13" s="1" t="s">
        <v>907</v>
      </c>
      <c r="H13" s="1" t="s">
        <v>917</v>
      </c>
      <c r="L13" s="1" t="s">
        <v>965</v>
      </c>
      <c r="N13" s="1" t="s">
        <v>887</v>
      </c>
      <c r="O13" s="1" t="s">
        <v>680</v>
      </c>
      <c r="P13" s="1" t="s">
        <v>975</v>
      </c>
      <c r="Q13" s="1" t="s">
        <v>984</v>
      </c>
      <c r="R13" s="1" t="s">
        <v>919</v>
      </c>
    </row>
    <row r="14" spans="1:20" x14ac:dyDescent="0.25">
      <c r="A14" s="1" t="s">
        <v>1833</v>
      </c>
      <c r="B14" s="1" t="s">
        <v>871</v>
      </c>
      <c r="C14" s="1" t="s">
        <v>877</v>
      </c>
      <c r="D14" s="1" t="s">
        <v>884</v>
      </c>
      <c r="E14" s="1" t="s">
        <v>892</v>
      </c>
      <c r="F14" s="1" t="s">
        <v>903</v>
      </c>
      <c r="G14" s="1" t="s">
        <v>908</v>
      </c>
      <c r="H14" s="1" t="s">
        <v>918</v>
      </c>
      <c r="N14" s="1" t="s">
        <v>977</v>
      </c>
      <c r="O14" s="1" t="s">
        <v>971</v>
      </c>
      <c r="P14" s="1" t="s">
        <v>976</v>
      </c>
      <c r="R14" s="1" t="s">
        <v>936</v>
      </c>
    </row>
    <row r="15" spans="1:20" x14ac:dyDescent="0.25">
      <c r="O15" s="1" t="s">
        <v>978</v>
      </c>
      <c r="P15" s="1" t="s">
        <v>979</v>
      </c>
    </row>
    <row r="16" spans="1:20" x14ac:dyDescent="0.25">
      <c r="B16" s="1" t="s">
        <v>158</v>
      </c>
      <c r="L16" s="1" t="s">
        <v>158</v>
      </c>
    </row>
    <row r="17" spans="2:19" x14ac:dyDescent="0.25">
      <c r="B17" s="1" t="s">
        <v>867</v>
      </c>
      <c r="C17" s="1" t="s">
        <v>875</v>
      </c>
      <c r="D17" s="1" t="s">
        <v>884</v>
      </c>
      <c r="E17" s="1" t="s">
        <v>888</v>
      </c>
      <c r="F17" s="1" t="s">
        <v>899</v>
      </c>
      <c r="G17" s="1" t="s">
        <v>905</v>
      </c>
      <c r="H17" s="1" t="s">
        <v>920</v>
      </c>
      <c r="L17" s="1" t="s">
        <v>964</v>
      </c>
      <c r="M17" s="1" t="s">
        <v>967</v>
      </c>
      <c r="N17" s="1" t="s">
        <v>969</v>
      </c>
      <c r="O17" s="1" t="s">
        <v>680</v>
      </c>
      <c r="P17" s="1" t="s">
        <v>972</v>
      </c>
      <c r="Q17" s="1" t="s">
        <v>982</v>
      </c>
      <c r="R17" s="1" t="s">
        <v>985</v>
      </c>
    </row>
    <row r="18" spans="2:19" x14ac:dyDescent="0.25">
      <c r="B18" s="1" t="s">
        <v>872</v>
      </c>
      <c r="C18" s="1" t="s">
        <v>879</v>
      </c>
      <c r="D18" s="1" t="s">
        <v>883</v>
      </c>
      <c r="E18" s="1" t="s">
        <v>893</v>
      </c>
      <c r="F18" s="1" t="s">
        <v>900</v>
      </c>
      <c r="G18" s="1" t="s">
        <v>909</v>
      </c>
      <c r="H18" s="1" t="s">
        <v>912</v>
      </c>
      <c r="L18" s="1" t="s">
        <v>878</v>
      </c>
      <c r="O18" s="1" t="s">
        <v>971</v>
      </c>
      <c r="P18" s="1" t="s">
        <v>980</v>
      </c>
      <c r="Q18" s="1" t="s">
        <v>983</v>
      </c>
      <c r="R18" s="1" t="s">
        <v>986</v>
      </c>
    </row>
    <row r="19" spans="2:19" x14ac:dyDescent="0.25">
      <c r="B19" s="1" t="s">
        <v>878</v>
      </c>
      <c r="C19" s="1" t="s">
        <v>811</v>
      </c>
      <c r="D19" s="1" t="s">
        <v>885</v>
      </c>
      <c r="E19" s="1" t="s">
        <v>894</v>
      </c>
      <c r="F19" s="1" t="s">
        <v>896</v>
      </c>
      <c r="G19" s="1" t="s">
        <v>906</v>
      </c>
      <c r="H19" s="1" t="s">
        <v>913</v>
      </c>
      <c r="O19" s="1" t="s">
        <v>647</v>
      </c>
      <c r="P19" s="1" t="s">
        <v>976</v>
      </c>
      <c r="R19" s="1" t="s">
        <v>936</v>
      </c>
    </row>
    <row r="20" spans="2:19" x14ac:dyDescent="0.25">
      <c r="B20" s="1" t="s">
        <v>870</v>
      </c>
      <c r="C20" s="1" t="s">
        <v>876</v>
      </c>
      <c r="D20" s="1" t="s">
        <v>886</v>
      </c>
      <c r="E20" s="1" t="s">
        <v>895</v>
      </c>
      <c r="F20" s="1" t="s">
        <v>902</v>
      </c>
      <c r="G20" s="1" t="s">
        <v>910</v>
      </c>
      <c r="H20" s="1" t="s">
        <v>919</v>
      </c>
    </row>
    <row r="21" spans="2:19" x14ac:dyDescent="0.25">
      <c r="B21" s="1" t="s">
        <v>878</v>
      </c>
      <c r="C21" s="1" t="s">
        <v>897</v>
      </c>
      <c r="D21" s="1" t="s">
        <v>887</v>
      </c>
      <c r="E21" s="1" t="s">
        <v>891</v>
      </c>
      <c r="F21" s="1" t="s">
        <v>903</v>
      </c>
      <c r="G21" s="1" t="s">
        <v>911</v>
      </c>
      <c r="H21" s="1" t="s">
        <v>918</v>
      </c>
    </row>
    <row r="22" spans="2:19" x14ac:dyDescent="0.25">
      <c r="M22" s="1" t="s">
        <v>1078</v>
      </c>
      <c r="O22" s="1" t="s">
        <v>1105</v>
      </c>
      <c r="P22" s="1" t="s">
        <v>1085</v>
      </c>
    </row>
    <row r="23" spans="2:19" x14ac:dyDescent="0.25">
      <c r="B23" s="1" t="s">
        <v>819</v>
      </c>
      <c r="C23" s="1" t="s">
        <v>1140</v>
      </c>
      <c r="M23" s="1" t="s">
        <v>1079</v>
      </c>
      <c r="O23" t="s">
        <v>828</v>
      </c>
      <c r="P23" s="1" t="s">
        <v>1103</v>
      </c>
      <c r="Q23" s="1" t="s">
        <v>1104</v>
      </c>
    </row>
    <row r="24" spans="2:19" x14ac:dyDescent="0.25">
      <c r="B24" s="1" t="s">
        <v>797</v>
      </c>
      <c r="C24" s="1" t="s">
        <v>1141</v>
      </c>
      <c r="E24" s="1" t="s">
        <v>993</v>
      </c>
      <c r="F24" s="1" t="s">
        <v>994</v>
      </c>
      <c r="G24" s="1" t="s">
        <v>995</v>
      </c>
      <c r="I24" s="1" t="s">
        <v>641</v>
      </c>
      <c r="M24" s="1" t="s">
        <v>991</v>
      </c>
      <c r="O24" s="1" t="s">
        <v>1002</v>
      </c>
      <c r="P24" t="s">
        <v>829</v>
      </c>
    </row>
    <row r="25" spans="2:19" x14ac:dyDescent="0.25">
      <c r="B25" s="1" t="s">
        <v>987</v>
      </c>
      <c r="E25" s="1" t="s">
        <v>996</v>
      </c>
      <c r="F25" s="1" t="s">
        <v>997</v>
      </c>
      <c r="I25" s="1" t="s">
        <v>1008</v>
      </c>
      <c r="M25" s="1" t="s">
        <v>1080</v>
      </c>
      <c r="O25" t="s">
        <v>1102</v>
      </c>
      <c r="Q25" t="s">
        <v>826</v>
      </c>
    </row>
    <row r="26" spans="2:19" x14ac:dyDescent="0.25">
      <c r="B26" s="1" t="s">
        <v>988</v>
      </c>
      <c r="C26" s="1" t="s">
        <v>1142</v>
      </c>
      <c r="E26" s="1" t="s">
        <v>998</v>
      </c>
      <c r="I26" s="1" t="s">
        <v>1009</v>
      </c>
      <c r="M26" s="1" t="s">
        <v>1081</v>
      </c>
      <c r="P26"/>
    </row>
    <row r="27" spans="2:19" x14ac:dyDescent="0.25">
      <c r="B27" s="1" t="s">
        <v>989</v>
      </c>
      <c r="E27" s="1" t="s">
        <v>999</v>
      </c>
      <c r="F27" s="1" t="s">
        <v>117</v>
      </c>
      <c r="I27" s="1" t="s">
        <v>1010</v>
      </c>
      <c r="M27" s="1" t="s">
        <v>1082</v>
      </c>
      <c r="O27" t="s">
        <v>1101</v>
      </c>
    </row>
    <row r="28" spans="2:19" x14ac:dyDescent="0.25">
      <c r="B28" s="1" t="s">
        <v>990</v>
      </c>
      <c r="E28" s="1" t="s">
        <v>1000</v>
      </c>
      <c r="I28" s="1" t="s">
        <v>1011</v>
      </c>
      <c r="Q28" s="1" t="s">
        <v>1083</v>
      </c>
    </row>
    <row r="29" spans="2:19" x14ac:dyDescent="0.25">
      <c r="B29" s="1" t="s">
        <v>991</v>
      </c>
      <c r="C29" t="s">
        <v>1080</v>
      </c>
      <c r="E29" s="1" t="s">
        <v>1001</v>
      </c>
      <c r="I29" s="1" t="s">
        <v>1012</v>
      </c>
      <c r="J29" s="1" t="s">
        <v>1013</v>
      </c>
      <c r="Q29" s="1" t="s">
        <v>1084</v>
      </c>
    </row>
    <row r="30" spans="2:19" x14ac:dyDescent="0.25">
      <c r="B30" s="1" t="s">
        <v>992</v>
      </c>
      <c r="C30" t="s">
        <v>1143</v>
      </c>
      <c r="E30" s="1" t="s">
        <v>1002</v>
      </c>
      <c r="I30" s="1" t="s">
        <v>1014</v>
      </c>
      <c r="Q30" s="1" t="s">
        <v>1085</v>
      </c>
      <c r="S30" s="1" t="s">
        <v>1086</v>
      </c>
    </row>
    <row r="31" spans="2:19" x14ac:dyDescent="0.25">
      <c r="E31" s="1" t="s">
        <v>1003</v>
      </c>
      <c r="I31" s="1" t="s">
        <v>635</v>
      </c>
      <c r="Q31" s="1" t="s">
        <v>1087</v>
      </c>
    </row>
    <row r="32" spans="2:19" x14ac:dyDescent="0.25">
      <c r="E32" s="1" t="s">
        <v>1004</v>
      </c>
      <c r="I32" s="1" t="s">
        <v>1015</v>
      </c>
      <c r="L32" s="1">
        <f>6+4+5+5+8+1</f>
        <v>29</v>
      </c>
      <c r="M32" s="1">
        <f>L32*3</f>
        <v>87</v>
      </c>
      <c r="Q32" s="1" t="s">
        <v>646</v>
      </c>
    </row>
    <row r="33" spans="5:17" x14ac:dyDescent="0.25">
      <c r="E33" s="1" t="s">
        <v>825</v>
      </c>
      <c r="I33" s="1" t="s">
        <v>1016</v>
      </c>
      <c r="L33" s="1">
        <f>6+3+5+1+14</f>
        <v>29</v>
      </c>
      <c r="M33" s="1">
        <f>L33*4</f>
        <v>116</v>
      </c>
      <c r="Q33" s="1" t="s">
        <v>1088</v>
      </c>
    </row>
    <row r="34" spans="5:17" x14ac:dyDescent="0.25">
      <c r="E34" s="1" t="s">
        <v>825</v>
      </c>
      <c r="I34" s="1" t="s">
        <v>1017</v>
      </c>
      <c r="L34" s="1">
        <f>4+3+2+1+11+1</f>
        <v>22</v>
      </c>
      <c r="M34" s="1">
        <f>L34*4+8+1+14</f>
        <v>111</v>
      </c>
      <c r="Q34" s="1" t="s">
        <v>1089</v>
      </c>
    </row>
    <row r="35" spans="5:17" x14ac:dyDescent="0.25">
      <c r="E35" s="1" t="s">
        <v>1005</v>
      </c>
      <c r="I35" s="1" t="s">
        <v>1018</v>
      </c>
      <c r="L35" s="1">
        <f>3+3+1+1+10</f>
        <v>18</v>
      </c>
      <c r="M35" s="1">
        <f>L35*3</f>
        <v>54</v>
      </c>
      <c r="Q35" s="1" t="s">
        <v>1090</v>
      </c>
    </row>
    <row r="36" spans="5:17" x14ac:dyDescent="0.25">
      <c r="E36" s="1" t="s">
        <v>826</v>
      </c>
      <c r="I36" s="1" t="s">
        <v>1019</v>
      </c>
      <c r="J36" s="1" t="s">
        <v>1020</v>
      </c>
      <c r="M36" s="1">
        <f>(M32+M33+M34+M35)*0.55</f>
        <v>202.4</v>
      </c>
      <c r="Q36" s="1" t="s">
        <v>1091</v>
      </c>
    </row>
    <row r="37" spans="5:17" x14ac:dyDescent="0.25">
      <c r="E37" s="1" t="s">
        <v>1006</v>
      </c>
      <c r="I37" s="1" t="s">
        <v>1021</v>
      </c>
      <c r="M37" s="1">
        <f>M36*0.5</f>
        <v>101.2</v>
      </c>
      <c r="Q37" s="1" t="s">
        <v>829</v>
      </c>
    </row>
    <row r="38" spans="5:17" x14ac:dyDescent="0.25">
      <c r="E38" s="1" t="s">
        <v>1007</v>
      </c>
      <c r="I38" s="1" t="s">
        <v>1024</v>
      </c>
      <c r="M38" s="1">
        <f>750/M37</f>
        <v>7.4110671936758887</v>
      </c>
      <c r="Q38" s="1" t="s">
        <v>1092</v>
      </c>
    </row>
    <row r="39" spans="5:17" x14ac:dyDescent="0.25">
      <c r="E39" s="1" t="s">
        <v>500</v>
      </c>
      <c r="I39" s="1" t="s">
        <v>1025</v>
      </c>
      <c r="Q39" s="1" t="s">
        <v>1093</v>
      </c>
    </row>
    <row r="40" spans="5:17" x14ac:dyDescent="0.25">
      <c r="E40" s="1" t="s">
        <v>504</v>
      </c>
      <c r="I40" s="1" t="s">
        <v>1026</v>
      </c>
      <c r="M40" s="1">
        <f>3.5+12+14</f>
        <v>29.5</v>
      </c>
      <c r="N40" s="1">
        <f>M40</f>
        <v>29.5</v>
      </c>
      <c r="Q40" s="1" t="s">
        <v>1094</v>
      </c>
    </row>
    <row r="41" spans="5:17" x14ac:dyDescent="0.25">
      <c r="E41" s="1" t="s">
        <v>1022</v>
      </c>
      <c r="I41" s="1" t="s">
        <v>1027</v>
      </c>
      <c r="M41" s="1">
        <f>M40*4*0.75-40</f>
        <v>48.5</v>
      </c>
      <c r="N41" s="1">
        <f>M41</f>
        <v>48.5</v>
      </c>
      <c r="Q41" s="1" t="s">
        <v>1095</v>
      </c>
    </row>
    <row r="42" spans="5:17" x14ac:dyDescent="0.25">
      <c r="E42" s="1" t="s">
        <v>1023</v>
      </c>
      <c r="M42" s="1">
        <f>M41+50+50+25+50-24</f>
        <v>199.5</v>
      </c>
      <c r="N42" s="1">
        <f>N41-24</f>
        <v>24.5</v>
      </c>
      <c r="Q42" s="1" t="s">
        <v>1096</v>
      </c>
    </row>
    <row r="43" spans="5:17" x14ac:dyDescent="0.25">
      <c r="E43" s="1" t="s">
        <v>1028</v>
      </c>
      <c r="Q43" s="1" t="s">
        <v>1097</v>
      </c>
    </row>
    <row r="44" spans="5:17" x14ac:dyDescent="0.25">
      <c r="E44" s="1" t="s">
        <v>1029</v>
      </c>
      <c r="Q44" s="1" t="s">
        <v>1098</v>
      </c>
    </row>
    <row r="45" spans="5:17" x14ac:dyDescent="0.25">
      <c r="E45" s="1" t="s">
        <v>1030</v>
      </c>
      <c r="H45" s="1">
        <f>12-4-4</f>
        <v>4</v>
      </c>
      <c r="N45" s="1">
        <f>7*16</f>
        <v>112</v>
      </c>
      <c r="Q45" s="1" t="s">
        <v>1099</v>
      </c>
    </row>
    <row r="46" spans="5:17" x14ac:dyDescent="0.25">
      <c r="Q46" s="1" t="s">
        <v>1100</v>
      </c>
    </row>
    <row r="47" spans="5:17" x14ac:dyDescent="0.25">
      <c r="I47" s="1">
        <f>6*3.5*4</f>
        <v>84</v>
      </c>
    </row>
    <row r="48" spans="5:17" x14ac:dyDescent="0.25">
      <c r="J48" s="1">
        <f>6*4</f>
        <v>24</v>
      </c>
    </row>
    <row r="52" spans="20:25" x14ac:dyDescent="0.25">
      <c r="T52"/>
    </row>
    <row r="53" spans="20:25" x14ac:dyDescent="0.25">
      <c r="T53"/>
    </row>
    <row r="54" spans="20:25" x14ac:dyDescent="0.25">
      <c r="T54"/>
    </row>
    <row r="55" spans="20:25" x14ac:dyDescent="0.25">
      <c r="T55"/>
    </row>
    <row r="56" spans="20:25" x14ac:dyDescent="0.25">
      <c r="T56"/>
    </row>
    <row r="57" spans="20:25" x14ac:dyDescent="0.25">
      <c r="T57"/>
    </row>
    <row r="58" spans="20:25" x14ac:dyDescent="0.25">
      <c r="T58"/>
    </row>
    <row r="59" spans="20:25" x14ac:dyDescent="0.25">
      <c r="T59"/>
      <c r="W59" s="1">
        <f>3.5*3+4+14</f>
        <v>28.5</v>
      </c>
    </row>
    <row r="60" spans="20:25" x14ac:dyDescent="0.25">
      <c r="T60"/>
      <c r="W60" s="1">
        <f>W59*3</f>
        <v>85.5</v>
      </c>
    </row>
    <row r="63" spans="20:25" x14ac:dyDescent="0.25">
      <c r="Y63" s="1">
        <v>-17</v>
      </c>
    </row>
    <row r="64" spans="20:25" x14ac:dyDescent="0.25">
      <c r="Y64" s="1">
        <f>20-15</f>
        <v>5</v>
      </c>
    </row>
    <row r="65" spans="20:27" x14ac:dyDescent="0.25">
      <c r="Y65" s="1">
        <f>Y64-2-4-1-4</f>
        <v>-6</v>
      </c>
    </row>
    <row r="66" spans="20:27" x14ac:dyDescent="0.25">
      <c r="T66"/>
      <c r="V66" s="1">
        <f>-12</f>
        <v>-12</v>
      </c>
      <c r="W66" s="1">
        <f>(20-V68)/20</f>
        <v>1.6</v>
      </c>
      <c r="X66" s="1">
        <f>(20-V69)/20</f>
        <v>1.5</v>
      </c>
    </row>
    <row r="67" spans="20:27" x14ac:dyDescent="0.25">
      <c r="T67"/>
      <c r="V67" s="1">
        <v>-10</v>
      </c>
      <c r="W67" s="1">
        <f>W66*W60</f>
        <v>136.80000000000001</v>
      </c>
      <c r="X67" s="1">
        <f>X66*W59</f>
        <v>42.75</v>
      </c>
    </row>
    <row r="68" spans="20:27" x14ac:dyDescent="0.25">
      <c r="V68" s="1">
        <f>V66-U66</f>
        <v>-12</v>
      </c>
      <c r="W68" s="1">
        <f>W67+X67</f>
        <v>179.55</v>
      </c>
    </row>
    <row r="69" spans="20:27" x14ac:dyDescent="0.25">
      <c r="V69" s="1">
        <f>V67-U67</f>
        <v>-10</v>
      </c>
      <c r="W69" s="1">
        <f>W68*0.9</f>
        <v>161.59500000000003</v>
      </c>
      <c r="Y69" s="1">
        <f>Y65-Y63</f>
        <v>11</v>
      </c>
    </row>
    <row r="70" spans="20:27" x14ac:dyDescent="0.25">
      <c r="W70" s="1">
        <f>W69-12</f>
        <v>149.59500000000003</v>
      </c>
      <c r="Y70" s="1">
        <f>(20-Y69)/20</f>
        <v>0.45</v>
      </c>
      <c r="Z70" s="1">
        <f>Y70-0.1-0.2</f>
        <v>0.14999999999999997</v>
      </c>
    </row>
    <row r="71" spans="20:27" x14ac:dyDescent="0.25">
      <c r="W71" s="1">
        <f>W70-30</f>
        <v>119.59500000000003</v>
      </c>
      <c r="Y71" s="1">
        <f>Y70*(5.5+4+4+4+1+2)</f>
        <v>9.2249999999999996</v>
      </c>
      <c r="Z71" s="1">
        <f>Z70*(7+4+1)</f>
        <v>1.7999999999999996</v>
      </c>
    </row>
    <row r="72" spans="20:27" x14ac:dyDescent="0.25">
      <c r="Y72" s="1">
        <f>Y71*4+Z71</f>
        <v>38.699999999999996</v>
      </c>
    </row>
    <row r="73" spans="20:27" x14ac:dyDescent="0.25">
      <c r="Y73" s="1">
        <f>Y72*0.75</f>
        <v>29.024999999999999</v>
      </c>
    </row>
    <row r="74" spans="20:27" x14ac:dyDescent="0.25">
      <c r="Y74" s="1">
        <f>Y73-6</f>
        <v>23.024999999999999</v>
      </c>
    </row>
    <row r="75" spans="20:27" x14ac:dyDescent="0.25">
      <c r="Y75" s="1">
        <f>Y74+7</f>
        <v>30.024999999999999</v>
      </c>
      <c r="AA75" s="1">
        <f>2.5*12+6</f>
        <v>36</v>
      </c>
    </row>
    <row r="76" spans="20:27" x14ac:dyDescent="0.25">
      <c r="AA76" s="1">
        <f>AA75*0.25</f>
        <v>9</v>
      </c>
    </row>
    <row r="77" spans="20:27" x14ac:dyDescent="0.25">
      <c r="Y77" s="1">
        <f>600/Y75</f>
        <v>19.983347210657787</v>
      </c>
    </row>
    <row r="78" spans="20:27" x14ac:dyDescent="0.25">
      <c r="W78" s="1">
        <f>3*4.5+5+2*4.5+2</f>
        <v>29.5</v>
      </c>
    </row>
    <row r="79" spans="20:27" x14ac:dyDescent="0.25">
      <c r="W79" s="1">
        <f>W78*7</f>
        <v>206.5</v>
      </c>
    </row>
    <row r="80" spans="20:27" x14ac:dyDescent="0.25">
      <c r="W80" s="1">
        <f>W79*0.7</f>
        <v>144.54999999999998</v>
      </c>
    </row>
    <row r="87" spans="8:15" x14ac:dyDescent="0.25">
      <c r="H87" s="12"/>
      <c r="I87"/>
      <c r="J87"/>
      <c r="K87"/>
      <c r="L87"/>
    </row>
    <row r="88" spans="8:15" x14ac:dyDescent="0.25">
      <c r="H88" s="2"/>
      <c r="I88"/>
      <c r="J88"/>
      <c r="K88"/>
      <c r="L88"/>
    </row>
    <row r="89" spans="8:15" x14ac:dyDescent="0.25">
      <c r="H89" s="6"/>
      <c r="I89"/>
      <c r="J89"/>
      <c r="K89"/>
      <c r="L89"/>
    </row>
    <row r="90" spans="8:15" x14ac:dyDescent="0.25">
      <c r="H90" s="7"/>
      <c r="I90"/>
      <c r="J90"/>
      <c r="K90"/>
      <c r="L90"/>
      <c r="M90" s="9"/>
      <c r="N90" s="2"/>
      <c r="O90"/>
    </row>
    <row r="91" spans="8:15" x14ac:dyDescent="0.25">
      <c r="I91"/>
      <c r="J91"/>
      <c r="K91"/>
      <c r="L91"/>
    </row>
    <row r="92" spans="8:15" x14ac:dyDescent="0.25">
      <c r="I92"/>
      <c r="J92"/>
      <c r="K92" s="9"/>
      <c r="L92" s="9"/>
      <c r="M92" s="9"/>
      <c r="N92" s="12"/>
    </row>
    <row r="93" spans="8:15" x14ac:dyDescent="0.25">
      <c r="I93"/>
      <c r="J93"/>
      <c r="K93"/>
      <c r="L93"/>
      <c r="O93"/>
    </row>
    <row r="94" spans="8:15" x14ac:dyDescent="0.25">
      <c r="I94"/>
      <c r="J94"/>
      <c r="K94" s="2"/>
      <c r="L94" s="2"/>
      <c r="M94" s="2"/>
      <c r="N94"/>
      <c r="O94"/>
    </row>
    <row r="95" spans="8:15" x14ac:dyDescent="0.25">
      <c r="I95"/>
      <c r="J95"/>
      <c r="K95"/>
      <c r="L95"/>
      <c r="O95"/>
    </row>
    <row r="96" spans="8:15" x14ac:dyDescent="0.25">
      <c r="I96"/>
      <c r="J96"/>
      <c r="K96"/>
      <c r="L96"/>
      <c r="M96" s="9"/>
      <c r="N96" s="12"/>
    </row>
    <row r="97" spans="9:19" x14ac:dyDescent="0.25">
      <c r="I97"/>
      <c r="J97"/>
      <c r="K97"/>
      <c r="L97"/>
      <c r="O97"/>
    </row>
    <row r="98" spans="9:19" x14ac:dyDescent="0.25">
      <c r="I98"/>
      <c r="J98"/>
      <c r="K98"/>
      <c r="L98"/>
      <c r="N98"/>
    </row>
    <row r="99" spans="9:19" x14ac:dyDescent="0.25">
      <c r="I99"/>
      <c r="J99"/>
      <c r="K99"/>
      <c r="L99"/>
    </row>
    <row r="100" spans="9:19" x14ac:dyDescent="0.25">
      <c r="I100"/>
      <c r="J100"/>
      <c r="K100"/>
      <c r="L100"/>
      <c r="N100"/>
      <c r="O100"/>
    </row>
    <row r="101" spans="9:19" x14ac:dyDescent="0.25">
      <c r="I101"/>
      <c r="J101"/>
      <c r="K101"/>
      <c r="L101"/>
    </row>
    <row r="102" spans="9:19" x14ac:dyDescent="0.25">
      <c r="I102"/>
      <c r="J102"/>
      <c r="K102"/>
      <c r="L102"/>
    </row>
    <row r="103" spans="9:19" x14ac:dyDescent="0.25">
      <c r="I103"/>
      <c r="J103"/>
      <c r="K103"/>
      <c r="L103"/>
    </row>
    <row r="104" spans="9:19" x14ac:dyDescent="0.25">
      <c r="I104"/>
      <c r="J104"/>
      <c r="K104"/>
      <c r="L104"/>
    </row>
    <row r="105" spans="9:19" x14ac:dyDescent="0.25">
      <c r="I105"/>
      <c r="J105"/>
      <c r="K105"/>
      <c r="L105"/>
    </row>
    <row r="106" spans="9:19" x14ac:dyDescent="0.25">
      <c r="S106"/>
    </row>
    <row r="107" spans="9:19" x14ac:dyDescent="0.25">
      <c r="I107"/>
      <c r="J107"/>
      <c r="K107"/>
      <c r="L107"/>
      <c r="N107" s="9"/>
      <c r="S107"/>
    </row>
    <row r="108" spans="9:19" x14ac:dyDescent="0.25">
      <c r="I108"/>
      <c r="J108"/>
      <c r="K108"/>
      <c r="L108"/>
      <c r="N108" s="9"/>
      <c r="S108"/>
    </row>
    <row r="109" spans="9:19" x14ac:dyDescent="0.25">
      <c r="I109"/>
      <c r="J109"/>
      <c r="K109"/>
      <c r="L109"/>
      <c r="N109" s="9"/>
      <c r="O109"/>
      <c r="S109"/>
    </row>
    <row r="110" spans="9:19" x14ac:dyDescent="0.25">
      <c r="I110"/>
      <c r="J110"/>
      <c r="K110"/>
      <c r="L110"/>
      <c r="N110" s="9"/>
      <c r="S110"/>
    </row>
    <row r="111" spans="9:19" x14ac:dyDescent="0.25">
      <c r="I111"/>
      <c r="J111"/>
      <c r="K111"/>
      <c r="L111"/>
      <c r="N111" s="9"/>
      <c r="S111"/>
    </row>
    <row r="112" spans="9:19" x14ac:dyDescent="0.25">
      <c r="I112"/>
      <c r="J112"/>
      <c r="K112"/>
      <c r="L112"/>
      <c r="N112" s="9"/>
    </row>
    <row r="113" spans="9:23" x14ac:dyDescent="0.25">
      <c r="I113"/>
      <c r="J113"/>
      <c r="K113"/>
      <c r="L113"/>
      <c r="N113" s="9"/>
      <c r="W113" s="1">
        <f>10*2*4*(10+2)+10*2*12</f>
        <v>1200</v>
      </c>
    </row>
    <row r="114" spans="9:23" x14ac:dyDescent="0.25">
      <c r="I114"/>
      <c r="J114"/>
      <c r="K114"/>
      <c r="L114"/>
      <c r="N114" s="9"/>
      <c r="O114"/>
      <c r="W114" s="1">
        <f>10*1*1*(10+2)+10*1*12</f>
        <v>240</v>
      </c>
    </row>
    <row r="115" spans="9:23" x14ac:dyDescent="0.25">
      <c r="I115"/>
      <c r="J115"/>
      <c r="K115"/>
      <c r="L115"/>
      <c r="N115" s="9"/>
    </row>
    <row r="116" spans="9:23" x14ac:dyDescent="0.25">
      <c r="I116"/>
      <c r="J116"/>
      <c r="K116"/>
      <c r="L116"/>
      <c r="N116" s="9"/>
      <c r="O116"/>
    </row>
    <row r="117" spans="9:23" x14ac:dyDescent="0.25">
      <c r="I117"/>
      <c r="J117"/>
      <c r="K117"/>
      <c r="L117"/>
      <c r="N117" s="9"/>
      <c r="O117"/>
    </row>
    <row r="118" spans="9:23" x14ac:dyDescent="0.25">
      <c r="I118"/>
      <c r="J118"/>
      <c r="K118"/>
      <c r="L118"/>
      <c r="N118" s="9"/>
      <c r="O118"/>
      <c r="V118" s="1">
        <f>12+5+3+9+2</f>
        <v>31</v>
      </c>
    </row>
    <row r="119" spans="9:23" x14ac:dyDescent="0.25">
      <c r="I119"/>
      <c r="J119"/>
      <c r="K119"/>
      <c r="L119"/>
      <c r="N119" s="9"/>
      <c r="O119"/>
      <c r="V119" s="1">
        <f>V118*10</f>
        <v>310</v>
      </c>
    </row>
    <row r="120" spans="9:23" x14ac:dyDescent="0.25">
      <c r="I120"/>
      <c r="J120"/>
      <c r="K120"/>
      <c r="L120"/>
      <c r="N120" s="9"/>
      <c r="O120"/>
    </row>
    <row r="121" spans="9:23" x14ac:dyDescent="0.25">
      <c r="I121"/>
      <c r="J121"/>
      <c r="K121"/>
      <c r="L121"/>
      <c r="O121"/>
    </row>
    <row r="122" spans="9:23" x14ac:dyDescent="0.25">
      <c r="I122"/>
      <c r="J122"/>
      <c r="K122"/>
      <c r="L122"/>
      <c r="O122"/>
    </row>
    <row r="123" spans="9:23" x14ac:dyDescent="0.25">
      <c r="I123"/>
      <c r="J123"/>
      <c r="K123"/>
      <c r="L123"/>
      <c r="V123" s="1">
        <v>0.75</v>
      </c>
      <c r="W123" s="1">
        <f>U123*V123</f>
        <v>0</v>
      </c>
    </row>
    <row r="124" spans="9:23" x14ac:dyDescent="0.25">
      <c r="I124"/>
      <c r="J124"/>
      <c r="K124"/>
      <c r="L124"/>
    </row>
    <row r="125" spans="9:23" x14ac:dyDescent="0.25">
      <c r="I125"/>
      <c r="J125"/>
      <c r="K125"/>
      <c r="L125"/>
      <c r="O125"/>
    </row>
    <row r="127" spans="9:23" x14ac:dyDescent="0.25">
      <c r="I127"/>
      <c r="J127"/>
      <c r="K127"/>
      <c r="L127"/>
      <c r="Q127"/>
    </row>
    <row r="128" spans="9:23" x14ac:dyDescent="0.25">
      <c r="I128"/>
      <c r="J128" s="9"/>
      <c r="K128" s="9"/>
      <c r="L128" s="9"/>
      <c r="M128" s="9"/>
      <c r="N128" s="9"/>
      <c r="O128" s="9"/>
      <c r="Q128"/>
    </row>
    <row r="129" spans="9:21" x14ac:dyDescent="0.25">
      <c r="I129"/>
      <c r="J129" s="9"/>
      <c r="K129" s="9"/>
      <c r="L129" s="9"/>
      <c r="M129" s="9"/>
      <c r="N129" s="9"/>
      <c r="O129" s="9"/>
      <c r="P129"/>
      <c r="Q129"/>
      <c r="T129"/>
    </row>
    <row r="130" spans="9:21" x14ac:dyDescent="0.25">
      <c r="I130"/>
      <c r="J130" s="9"/>
      <c r="K130" s="9"/>
      <c r="L130" s="9"/>
      <c r="M130" s="9"/>
      <c r="N130" s="9"/>
      <c r="O130" s="9"/>
      <c r="Q130"/>
    </row>
    <row r="131" spans="9:21" x14ac:dyDescent="0.25">
      <c r="I131"/>
      <c r="J131" s="9"/>
      <c r="K131" s="9"/>
      <c r="L131" s="9"/>
      <c r="M131" s="9"/>
      <c r="N131" s="9"/>
      <c r="O131" s="9"/>
      <c r="U131"/>
    </row>
    <row r="132" spans="9:21" x14ac:dyDescent="0.25">
      <c r="I132"/>
      <c r="J132" s="9"/>
      <c r="K132" s="9"/>
      <c r="L132" s="9"/>
      <c r="M132" s="9"/>
      <c r="N132" s="9"/>
      <c r="O132" s="9"/>
    </row>
    <row r="133" spans="9:21" x14ac:dyDescent="0.25">
      <c r="I133"/>
      <c r="J133" s="9"/>
      <c r="K133" s="9"/>
      <c r="L133" s="9"/>
      <c r="M133" s="9"/>
      <c r="N133" s="9"/>
      <c r="O133" s="9"/>
      <c r="Q133" s="7"/>
      <c r="U133"/>
    </row>
    <row r="134" spans="9:21" x14ac:dyDescent="0.25">
      <c r="I134"/>
      <c r="J134" s="9"/>
      <c r="K134" s="9"/>
      <c r="L134" s="9"/>
      <c r="M134" s="9"/>
      <c r="N134" s="9"/>
      <c r="O134" s="9"/>
      <c r="P134"/>
      <c r="Q134" s="7"/>
      <c r="U134"/>
    </row>
    <row r="135" spans="9:21" x14ac:dyDescent="0.25">
      <c r="I135"/>
      <c r="J135" s="9"/>
      <c r="K135" s="9"/>
      <c r="L135" s="9"/>
      <c r="M135" s="9"/>
      <c r="N135" s="9"/>
      <c r="O135" s="9"/>
    </row>
    <row r="136" spans="9:21" x14ac:dyDescent="0.25">
      <c r="I136"/>
      <c r="J136" s="9"/>
      <c r="K136" s="9"/>
      <c r="L136" s="9"/>
      <c r="M136" s="9"/>
      <c r="N136" s="9"/>
      <c r="O136" s="9"/>
      <c r="P136"/>
    </row>
    <row r="137" spans="9:21" x14ac:dyDescent="0.25">
      <c r="I137"/>
      <c r="J137" s="9"/>
      <c r="K137" s="9"/>
      <c r="L137" s="9"/>
      <c r="M137" s="9"/>
      <c r="N137" s="9"/>
      <c r="O137" s="9"/>
      <c r="P137"/>
    </row>
    <row r="138" spans="9:21" x14ac:dyDescent="0.25">
      <c r="I138"/>
      <c r="J138" s="9"/>
      <c r="K138" s="9"/>
      <c r="L138" s="9"/>
      <c r="M138" s="9"/>
      <c r="N138" s="9"/>
      <c r="O138" s="9"/>
      <c r="P138"/>
      <c r="Q138" s="7"/>
      <c r="U138"/>
    </row>
    <row r="139" spans="9:21" x14ac:dyDescent="0.25">
      <c r="I139"/>
      <c r="J139" s="9"/>
      <c r="K139" s="9"/>
      <c r="L139" s="9"/>
      <c r="M139" s="9"/>
      <c r="N139" s="9"/>
      <c r="O139" s="9"/>
      <c r="P139"/>
      <c r="Q139" s="7"/>
      <c r="U139"/>
    </row>
    <row r="140" spans="9:21" x14ac:dyDescent="0.25">
      <c r="I140"/>
      <c r="J140"/>
      <c r="K140"/>
      <c r="L140"/>
      <c r="N140"/>
      <c r="O140"/>
      <c r="P140"/>
    </row>
    <row r="141" spans="9:21" x14ac:dyDescent="0.25">
      <c r="I141"/>
      <c r="J141"/>
      <c r="K141"/>
      <c r="L141"/>
      <c r="P141"/>
    </row>
    <row r="142" spans="9:21" x14ac:dyDescent="0.25">
      <c r="I142"/>
      <c r="J142"/>
      <c r="K142"/>
      <c r="L142"/>
      <c r="P142"/>
      <c r="Q142" s="7"/>
    </row>
    <row r="143" spans="9:21" x14ac:dyDescent="0.25">
      <c r="I143"/>
      <c r="J143"/>
      <c r="K143"/>
      <c r="L143"/>
    </row>
    <row r="144" spans="9:21" x14ac:dyDescent="0.25">
      <c r="I144"/>
      <c r="J144"/>
      <c r="K144"/>
      <c r="L144"/>
    </row>
    <row r="145" spans="9:26" x14ac:dyDescent="0.25">
      <c r="I145"/>
      <c r="J145"/>
      <c r="K145"/>
      <c r="L145"/>
      <c r="P145"/>
      <c r="V145" s="1">
        <f>2+4+2+3</f>
        <v>11</v>
      </c>
      <c r="W145" s="1">
        <f>V145*4</f>
        <v>44</v>
      </c>
    </row>
    <row r="146" spans="9:26" x14ac:dyDescent="0.25">
      <c r="V146" s="1">
        <f>3.5+1+4+2</f>
        <v>10.5</v>
      </c>
      <c r="W146" s="1">
        <f>V146*4</f>
        <v>42</v>
      </c>
    </row>
    <row r="147" spans="9:26" x14ac:dyDescent="0.25">
      <c r="I147"/>
      <c r="J147"/>
      <c r="K147"/>
      <c r="L147"/>
      <c r="P147"/>
      <c r="V147" s="1">
        <f>4.5+1+4+2</f>
        <v>11.5</v>
      </c>
      <c r="W147" s="1">
        <f>V147*4</f>
        <v>46</v>
      </c>
      <c r="Z147" s="1">
        <f>8*4.5</f>
        <v>36</v>
      </c>
    </row>
    <row r="148" spans="9:26" x14ac:dyDescent="0.25">
      <c r="I148"/>
      <c r="J148" s="9"/>
      <c r="K148" s="9"/>
      <c r="L148" s="9"/>
      <c r="M148" s="9"/>
      <c r="N148" s="9"/>
      <c r="P148"/>
      <c r="W148" s="1">
        <f>SUM(W145:W147)</f>
        <v>132</v>
      </c>
    </row>
    <row r="149" spans="9:26" x14ac:dyDescent="0.25">
      <c r="I149"/>
      <c r="J149" s="9"/>
      <c r="K149" s="9"/>
      <c r="L149" s="9"/>
      <c r="M149" s="9"/>
      <c r="N149" s="9"/>
      <c r="O149"/>
      <c r="P149"/>
      <c r="Y149" s="1">
        <f>3*4*1.6</f>
        <v>19.200000000000003</v>
      </c>
    </row>
    <row r="150" spans="9:26" x14ac:dyDescent="0.25">
      <c r="I150"/>
      <c r="J150" s="9"/>
      <c r="K150" s="9"/>
      <c r="L150" s="9"/>
      <c r="M150" s="9"/>
      <c r="N150" s="9"/>
      <c r="P150"/>
      <c r="Y150" s="1">
        <f>2*8*1.6</f>
        <v>25.6</v>
      </c>
    </row>
    <row r="151" spans="9:26" x14ac:dyDescent="0.25">
      <c r="I151"/>
      <c r="J151" s="9"/>
      <c r="K151" s="9"/>
      <c r="L151" s="9"/>
      <c r="M151" s="9"/>
      <c r="N151" s="9"/>
      <c r="P151"/>
      <c r="U151"/>
      <c r="V151" s="1">
        <v>20</v>
      </c>
      <c r="W151" t="s">
        <v>1236</v>
      </c>
    </row>
    <row r="152" spans="9:26" x14ac:dyDescent="0.25">
      <c r="I152"/>
      <c r="J152" s="9"/>
      <c r="K152" s="9"/>
      <c r="L152" s="9"/>
      <c r="M152" s="9"/>
      <c r="N152" s="9"/>
    </row>
    <row r="153" spans="9:26" x14ac:dyDescent="0.25">
      <c r="I153"/>
      <c r="J153" s="9"/>
      <c r="K153" s="9"/>
      <c r="L153" s="9"/>
      <c r="M153" s="9"/>
      <c r="N153" s="9"/>
      <c r="U153"/>
      <c r="V153" s="1">
        <v>28</v>
      </c>
      <c r="W153" s="7" t="s">
        <v>1231</v>
      </c>
    </row>
    <row r="154" spans="9:26" x14ac:dyDescent="0.25">
      <c r="I154"/>
      <c r="J154" s="9"/>
      <c r="K154" s="9"/>
      <c r="L154" s="9"/>
      <c r="M154" s="9"/>
      <c r="N154" s="9"/>
      <c r="O154"/>
      <c r="U154"/>
      <c r="V154">
        <v>33</v>
      </c>
      <c r="W154" s="7" t="s">
        <v>1232</v>
      </c>
    </row>
    <row r="155" spans="9:26" x14ac:dyDescent="0.25">
      <c r="I155"/>
      <c r="J155" s="9"/>
      <c r="K155" s="9"/>
      <c r="L155" s="9"/>
      <c r="M155" s="9"/>
      <c r="N155" s="9"/>
      <c r="O155"/>
    </row>
    <row r="156" spans="9:26" x14ac:dyDescent="0.25">
      <c r="I156"/>
      <c r="J156" s="9"/>
      <c r="K156" s="9"/>
      <c r="L156" s="9"/>
      <c r="M156" s="9"/>
      <c r="N156" s="9"/>
      <c r="O156"/>
    </row>
    <row r="157" spans="9:26" x14ac:dyDescent="0.25">
      <c r="I157"/>
      <c r="J157" s="9"/>
      <c r="K157" s="9"/>
      <c r="L157" s="9"/>
      <c r="M157" s="9"/>
      <c r="N157" s="9"/>
      <c r="O157"/>
    </row>
    <row r="158" spans="9:26" x14ac:dyDescent="0.25">
      <c r="I158"/>
      <c r="J158" s="9"/>
      <c r="K158" s="9"/>
      <c r="L158" s="9"/>
      <c r="M158" s="9"/>
      <c r="N158" s="9"/>
      <c r="U158"/>
      <c r="V158">
        <v>40</v>
      </c>
      <c r="W158" s="7" t="s">
        <v>747</v>
      </c>
    </row>
    <row r="159" spans="9:26" x14ac:dyDescent="0.25">
      <c r="I159"/>
      <c r="J159" s="9"/>
      <c r="K159" s="9"/>
      <c r="L159" s="9"/>
      <c r="M159" s="9"/>
      <c r="N159" s="9"/>
      <c r="U159"/>
      <c r="V159">
        <v>44</v>
      </c>
      <c r="W159" s="7" t="s">
        <v>1233</v>
      </c>
    </row>
    <row r="160" spans="9:26" x14ac:dyDescent="0.25">
      <c r="I160"/>
      <c r="J160"/>
      <c r="K160"/>
      <c r="L160"/>
      <c r="N160"/>
      <c r="O160"/>
    </row>
    <row r="161" spans="9:31" x14ac:dyDescent="0.25">
      <c r="I161"/>
      <c r="J161"/>
      <c r="K161"/>
      <c r="L161"/>
      <c r="R161"/>
      <c r="S161"/>
      <c r="T161"/>
      <c r="AA161" s="1">
        <v>-1</v>
      </c>
      <c r="AB161" s="1">
        <v>1</v>
      </c>
      <c r="AC161" s="1">
        <v>-2</v>
      </c>
      <c r="AD161" s="1">
        <v>2</v>
      </c>
    </row>
    <row r="162" spans="9:31" x14ac:dyDescent="0.25">
      <c r="I162"/>
      <c r="J162"/>
      <c r="K162"/>
      <c r="L162"/>
      <c r="R162"/>
      <c r="S162"/>
      <c r="T162"/>
      <c r="V162">
        <v>49</v>
      </c>
      <c r="W162" s="7" t="s">
        <v>1234</v>
      </c>
      <c r="AA162" s="1">
        <f>AA161*3</f>
        <v>-3</v>
      </c>
      <c r="AB162" s="1">
        <f>AB161*3</f>
        <v>3</v>
      </c>
      <c r="AC162" s="1">
        <f>AC161*3</f>
        <v>-6</v>
      </c>
      <c r="AD162" s="1">
        <f>AD161*3</f>
        <v>6</v>
      </c>
    </row>
    <row r="163" spans="9:31" x14ac:dyDescent="0.25">
      <c r="I163"/>
      <c r="J163"/>
      <c r="K163"/>
      <c r="L163"/>
      <c r="R163"/>
      <c r="S163"/>
      <c r="T163"/>
    </row>
    <row r="164" spans="9:31" x14ac:dyDescent="0.25">
      <c r="I164"/>
      <c r="J164"/>
      <c r="K164"/>
      <c r="L164"/>
      <c r="R164"/>
      <c r="S164"/>
      <c r="U164"/>
    </row>
    <row r="165" spans="9:31" x14ac:dyDescent="0.25">
      <c r="I165"/>
      <c r="J165"/>
      <c r="K165"/>
      <c r="L165"/>
      <c r="R165"/>
      <c r="S165"/>
      <c r="T165"/>
      <c r="U165"/>
    </row>
    <row r="166" spans="9:31" x14ac:dyDescent="0.25">
      <c r="R166"/>
      <c r="S166"/>
    </row>
    <row r="167" spans="9:31" x14ac:dyDescent="0.25">
      <c r="Y167"/>
    </row>
    <row r="168" spans="9:31" x14ac:dyDescent="0.25">
      <c r="W168" t="s">
        <v>212</v>
      </c>
      <c r="X168" s="1">
        <v>1</v>
      </c>
      <c r="Y168" s="1">
        <v>2</v>
      </c>
      <c r="Z168" s="1">
        <v>3</v>
      </c>
      <c r="AA168" s="1">
        <v>4</v>
      </c>
      <c r="AB168" s="1">
        <v>5</v>
      </c>
    </row>
    <row r="169" spans="9:31" x14ac:dyDescent="0.25">
      <c r="N169"/>
      <c r="O169"/>
      <c r="P169"/>
      <c r="Q169"/>
      <c r="W169">
        <v>1</v>
      </c>
      <c r="X169" s="1">
        <v>1</v>
      </c>
      <c r="Y169" s="1">
        <v>1</v>
      </c>
      <c r="Z169" s="1">
        <v>1</v>
      </c>
      <c r="AA169" s="1">
        <v>1</v>
      </c>
      <c r="AB169" s="1">
        <v>1</v>
      </c>
      <c r="AC169">
        <f>SUM(X169:AB169)</f>
        <v>5</v>
      </c>
      <c r="AD169" s="1">
        <f>-3</f>
        <v>-3</v>
      </c>
      <c r="AE169" s="1">
        <f>AC169+AD169</f>
        <v>2</v>
      </c>
    </row>
    <row r="170" spans="9:31" x14ac:dyDescent="0.25">
      <c r="M170"/>
      <c r="O170" s="4"/>
      <c r="W170" s="1">
        <v>2</v>
      </c>
      <c r="X170" s="1">
        <v>1</v>
      </c>
      <c r="Y170" s="1">
        <v>1</v>
      </c>
      <c r="Z170" s="1">
        <v>1</v>
      </c>
      <c r="AA170" s="1">
        <v>1</v>
      </c>
      <c r="AB170" s="1">
        <v>0</v>
      </c>
      <c r="AC170">
        <f>SUM(X170:AB170)</f>
        <v>4</v>
      </c>
      <c r="AD170" s="1">
        <f>-3</f>
        <v>-3</v>
      </c>
      <c r="AE170" s="1">
        <f>AC170+AD170</f>
        <v>1</v>
      </c>
    </row>
    <row r="171" spans="9:31" x14ac:dyDescent="0.25">
      <c r="M171"/>
      <c r="Q171" s="4"/>
      <c r="W171" s="1">
        <v>3</v>
      </c>
      <c r="X171" s="1">
        <v>1</v>
      </c>
      <c r="Y171" s="1">
        <v>1</v>
      </c>
      <c r="Z171" s="1">
        <v>1</v>
      </c>
      <c r="AA171" s="1">
        <v>0</v>
      </c>
      <c r="AB171" s="1">
        <v>0</v>
      </c>
      <c r="AC171">
        <f>SUM(X171:AB171)</f>
        <v>3</v>
      </c>
      <c r="AD171" s="1">
        <f>-3</f>
        <v>-3</v>
      </c>
      <c r="AE171" s="1">
        <f>AC171+AD171</f>
        <v>0</v>
      </c>
    </row>
    <row r="172" spans="9:31" x14ac:dyDescent="0.25">
      <c r="M172"/>
      <c r="Q172" s="4"/>
      <c r="W172" s="1">
        <v>4</v>
      </c>
      <c r="X172" s="1">
        <v>1</v>
      </c>
      <c r="Y172" s="1">
        <v>1</v>
      </c>
      <c r="Z172" s="1">
        <v>0</v>
      </c>
      <c r="AA172" s="1">
        <v>0</v>
      </c>
      <c r="AB172" s="1">
        <v>0</v>
      </c>
      <c r="AC172">
        <f>SUM(X172:AB172)</f>
        <v>2</v>
      </c>
      <c r="AD172" s="1">
        <f>-3</f>
        <v>-3</v>
      </c>
      <c r="AE172" s="1">
        <f>AC172+AD172</f>
        <v>-1</v>
      </c>
    </row>
    <row r="173" spans="9:31" x14ac:dyDescent="0.25">
      <c r="M173"/>
      <c r="R173" s="4"/>
      <c r="W173" s="1">
        <v>5</v>
      </c>
      <c r="X173" s="1">
        <v>1</v>
      </c>
      <c r="Y173" s="1">
        <v>0</v>
      </c>
      <c r="Z173" s="1">
        <v>0</v>
      </c>
      <c r="AA173" s="1">
        <v>0</v>
      </c>
      <c r="AB173" s="1">
        <v>0</v>
      </c>
      <c r="AC173">
        <f>SUM(X173:AB173)</f>
        <v>1</v>
      </c>
      <c r="AD173" s="1">
        <f>-3</f>
        <v>-3</v>
      </c>
      <c r="AE173" s="1">
        <f>AC173+AD173</f>
        <v>-2</v>
      </c>
    </row>
    <row r="174" spans="9:31" x14ac:dyDescent="0.25">
      <c r="M174"/>
      <c r="Q174" s="4"/>
    </row>
    <row r="175" spans="9:31" x14ac:dyDescent="0.25">
      <c r="M175"/>
      <c r="R175" s="4"/>
      <c r="W175" t="s">
        <v>212</v>
      </c>
      <c r="X175" s="1">
        <v>1</v>
      </c>
      <c r="Y175" s="1">
        <v>2</v>
      </c>
      <c r="Z175" s="1">
        <v>3</v>
      </c>
      <c r="AA175" s="1">
        <v>4</v>
      </c>
      <c r="AB175" s="1">
        <v>5</v>
      </c>
    </row>
    <row r="176" spans="9:31" x14ac:dyDescent="0.25">
      <c r="W176">
        <v>1</v>
      </c>
      <c r="X176" s="1">
        <v>1</v>
      </c>
      <c r="Y176" s="1">
        <v>1</v>
      </c>
      <c r="Z176" s="1">
        <v>1</v>
      </c>
      <c r="AA176" s="1">
        <v>1</v>
      </c>
      <c r="AB176" s="1">
        <v>1</v>
      </c>
      <c r="AC176">
        <f>SUM(X176:AB176)</f>
        <v>5</v>
      </c>
      <c r="AD176" s="1">
        <f>-3</f>
        <v>-3</v>
      </c>
      <c r="AE176" s="1">
        <f>AC176+AD176</f>
        <v>2</v>
      </c>
    </row>
    <row r="177" spans="13:31" x14ac:dyDescent="0.25">
      <c r="W177" s="1">
        <v>2</v>
      </c>
      <c r="X177" s="1">
        <v>1</v>
      </c>
      <c r="Y177" s="1">
        <v>1</v>
      </c>
      <c r="Z177" s="1">
        <v>1</v>
      </c>
      <c r="AA177" s="1">
        <v>1</v>
      </c>
      <c r="AB177" s="1">
        <v>1</v>
      </c>
      <c r="AC177">
        <f>SUM(X177:AB177)</f>
        <v>5</v>
      </c>
      <c r="AD177" s="1">
        <f>-3</f>
        <v>-3</v>
      </c>
      <c r="AE177" s="1">
        <f>AC177+AD177</f>
        <v>2</v>
      </c>
    </row>
    <row r="178" spans="13:31" x14ac:dyDescent="0.25">
      <c r="N178"/>
      <c r="O178"/>
      <c r="P178"/>
      <c r="Q178"/>
      <c r="R178"/>
      <c r="S178"/>
      <c r="W178" s="1">
        <v>3</v>
      </c>
      <c r="X178" s="1">
        <v>1</v>
      </c>
      <c r="Y178" s="1">
        <v>1</v>
      </c>
      <c r="Z178" s="1">
        <v>1</v>
      </c>
      <c r="AA178" s="1">
        <v>1</v>
      </c>
      <c r="AB178" s="1">
        <v>1</v>
      </c>
      <c r="AC178">
        <f>SUM(X178:AB178)</f>
        <v>5</v>
      </c>
      <c r="AD178" s="1">
        <f>-3</f>
        <v>-3</v>
      </c>
      <c r="AE178" s="1">
        <f>AC178+AD178</f>
        <v>2</v>
      </c>
    </row>
    <row r="179" spans="13:31" x14ac:dyDescent="0.25">
      <c r="M179"/>
      <c r="R179" s="4"/>
      <c r="W179" s="1">
        <v>4</v>
      </c>
      <c r="X179" s="1">
        <v>1</v>
      </c>
      <c r="Y179" s="1">
        <v>1</v>
      </c>
      <c r="Z179" s="1">
        <v>1</v>
      </c>
      <c r="AA179" s="1">
        <v>1</v>
      </c>
      <c r="AB179" s="1">
        <v>1</v>
      </c>
      <c r="AC179">
        <f>SUM(X179:AB179)</f>
        <v>5</v>
      </c>
      <c r="AD179" s="1">
        <f>-3</f>
        <v>-3</v>
      </c>
      <c r="AE179" s="1">
        <f>AC179+AD179</f>
        <v>2</v>
      </c>
    </row>
    <row r="180" spans="13:31" x14ac:dyDescent="0.25">
      <c r="M180"/>
      <c r="S180" s="4"/>
      <c r="W180" s="1">
        <v>5</v>
      </c>
      <c r="X180" s="1">
        <v>1</v>
      </c>
      <c r="Y180" s="1">
        <v>1</v>
      </c>
      <c r="Z180" s="1">
        <v>1</v>
      </c>
      <c r="AA180" s="1">
        <v>1</v>
      </c>
      <c r="AB180" s="1">
        <v>1</v>
      </c>
      <c r="AC180">
        <f>SUM(X180:AB180)</f>
        <v>5</v>
      </c>
      <c r="AD180" s="1">
        <f>-3</f>
        <v>-3</v>
      </c>
      <c r="AE180" s="1">
        <f>AC180+AD180</f>
        <v>2</v>
      </c>
    </row>
    <row r="181" spans="13:31" x14ac:dyDescent="0.25">
      <c r="M181"/>
    </row>
    <row r="182" spans="13:31" x14ac:dyDescent="0.25">
      <c r="M182"/>
      <c r="R182" s="4"/>
    </row>
    <row r="183" spans="13:31" x14ac:dyDescent="0.25">
      <c r="M183"/>
    </row>
    <row r="184" spans="13:31" x14ac:dyDescent="0.25">
      <c r="M184"/>
      <c r="O184" s="4"/>
    </row>
    <row r="185" spans="13:31" x14ac:dyDescent="0.25">
      <c r="O185" s="4"/>
    </row>
    <row r="187" spans="13:31" x14ac:dyDescent="0.25">
      <c r="N187"/>
      <c r="O187"/>
      <c r="P187"/>
      <c r="Q187"/>
      <c r="R187"/>
      <c r="S187"/>
    </row>
    <row r="188" spans="13:31" x14ac:dyDescent="0.25">
      <c r="M188"/>
      <c r="R188" s="4"/>
    </row>
    <row r="189" spans="13:31" x14ac:dyDescent="0.25">
      <c r="M189"/>
      <c r="N189" s="4"/>
    </row>
    <row r="190" spans="13:31" x14ac:dyDescent="0.25">
      <c r="M190"/>
      <c r="N190" s="4"/>
    </row>
    <row r="191" spans="13:31" x14ac:dyDescent="0.25">
      <c r="M191"/>
      <c r="N191" s="4"/>
    </row>
    <row r="192" spans="13:31" x14ac:dyDescent="0.25">
      <c r="M192"/>
      <c r="P192" s="4"/>
    </row>
    <row r="193" spans="13:19" x14ac:dyDescent="0.25">
      <c r="M193"/>
      <c r="S193" s="4"/>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28</vt:i4>
      </vt:variant>
    </vt:vector>
  </HeadingPairs>
  <TitlesOfParts>
    <vt:vector size="28" baseType="lpstr">
      <vt:lpstr>XP level (2)</vt:lpstr>
      <vt:lpstr>XP level</vt:lpstr>
      <vt:lpstr>spells per level</vt:lpstr>
      <vt:lpstr>damage comparison</vt:lpstr>
      <vt:lpstr>Sheet1</vt:lpstr>
      <vt:lpstr>Sheet2</vt:lpstr>
      <vt:lpstr>max physical damage</vt:lpstr>
      <vt:lpstr>Sheet3</vt:lpstr>
      <vt:lpstr>Sheet4</vt:lpstr>
      <vt:lpstr>saves</vt:lpstr>
      <vt:lpstr>saves SR</vt:lpstr>
      <vt:lpstr>Sheet5</vt:lpstr>
      <vt:lpstr>scorcher loop</vt:lpstr>
      <vt:lpstr>kits</vt:lpstr>
      <vt:lpstr>AC</vt:lpstr>
      <vt:lpstr>underused</vt:lpstr>
      <vt:lpstr>disablers</vt:lpstr>
      <vt:lpstr>lists</vt:lpstr>
      <vt:lpstr>SR IR notes</vt:lpstr>
      <vt:lpstr>kit plans</vt:lpstr>
      <vt:lpstr>WoL</vt:lpstr>
      <vt:lpstr>called shot</vt:lpstr>
      <vt:lpstr>any change</vt:lpstr>
      <vt:lpstr>all games</vt:lpstr>
      <vt:lpstr>Sheet7</vt:lpstr>
      <vt:lpstr>BWS</vt:lpstr>
      <vt:lpstr>poverty</vt:lpstr>
      <vt:lpstr>raise dead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2017-12-31T20:20:49Z</dcterms:modified>
</cp:coreProperties>
</file>